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showInkAnnotation="0" codeName="ThisWorkbook"/>
  <mc:AlternateContent xmlns:mc="http://schemas.openxmlformats.org/markup-compatibility/2006">
    <mc:Choice Requires="x15">
      <x15ac:absPath xmlns:x15ac="http://schemas.microsoft.com/office/spreadsheetml/2010/11/ac" url="\\sun\Active\Projects\MedRIC\10_Operations_Maintenance\Templates\Documentation\Data_Request_Form\2023\To_Linkage\NHATS\"/>
    </mc:Choice>
  </mc:AlternateContent>
  <xr:revisionPtr revIDLastSave="0" documentId="13_ncr:1_{2705E970-6348-455B-B152-7329ED53C476}" xr6:coauthVersionLast="36" xr6:coauthVersionMax="36" xr10:uidLastSave="{00000000-0000-0000-0000-000000000000}"/>
  <workbookProtection workbookAlgorithmName="SHA-512" workbookHashValue="HzDYin2UJaRm4/O7h38PWx/wgpPIyiVCy1y/mkAaG3UYp9AdUE6p8PL/WO3u5/KOPtE+y62nh1WKYB4LrIWaNw==" workbookSaltValue="vKZnVkKjeWhtDK8lQ79x/Q==" workbookSpinCount="100000" lockStructure="1"/>
  <bookViews>
    <workbookView xWindow="18780" yWindow="0" windowWidth="2870" windowHeight="12230" tabRatio="961" xr2:uid="{00000000-000D-0000-FFFF-FFFF00000000}"/>
  </bookViews>
  <sheets>
    <sheet name="Introduction" sheetId="1" r:id="rId1"/>
    <sheet name="Revision_Log" sheetId="35" r:id="rId2"/>
    <sheet name="About_Request_Form" sheetId="26" r:id="rId3"/>
    <sheet name="Form_Instructions" sheetId="34" r:id="rId4"/>
    <sheet name="Research_Project_Info" sheetId="2" r:id="rId5"/>
    <sheet name="File-Level_Request" sheetId="18" r:id="rId6"/>
    <sheet name="Summary" sheetId="22" r:id="rId7"/>
    <sheet name="App_A_File_Desc" sheetId="17" r:id="rId8"/>
    <sheet name="App_B_Masking_Levels" sheetId="14" r:id="rId9"/>
    <sheet name="App_C_Acronyms" sheetId="28" r:id="rId10"/>
    <sheet name="App_D_Glossary" sheetId="29" r:id="rId11"/>
    <sheet name="Study_Data_Year" sheetId="30" state="hidden" r:id="rId12"/>
    <sheet name="Formulas_Validations" sheetId="11" state="hidden" r:id="rId13"/>
    <sheet name="Data_Version" sheetId="15" state="hidden" r:id="rId14"/>
  </sheets>
  <definedNames>
    <definedName name="_xlnm._FilterDatabase" localSheetId="9" hidden="1">App_C_Acronyms!$B$6:$C$6</definedName>
    <definedName name="_xlnm._FilterDatabase" localSheetId="13" hidden="1">Data_Version!$A$3:$G$243</definedName>
    <definedName name="_xlnm._FilterDatabase" localSheetId="12" hidden="1">Formulas_Validations!#REF!</definedName>
    <definedName name="_xlnm._FilterDatabase" localSheetId="11" hidden="1">Study_Data_Year!$A$7:$F$42</definedName>
    <definedName name="AB_DM_Max_Year">Study_Data_Year!$F$54</definedName>
    <definedName name="AB_DM_Min_Year">Study_Data_Year!$E$54</definedName>
    <definedName name="AB_HH_Max_Year">Study_Data_Year!$F$55</definedName>
    <definedName name="AB_HH_Min_Year">Study_Data_Year!$E$55</definedName>
    <definedName name="AB_HS_Max_Year">Study_Data_Year!$F$56</definedName>
    <definedName name="AB_HS_Min_Year">Study_Data_Year!$E$56</definedName>
    <definedName name="AB_IP_Max_Year">Study_Data_Year!$F$57</definedName>
    <definedName name="AB_IP_Min_Year">Study_Data_Year!$E$57</definedName>
    <definedName name="AB_OP_Max_Year">Study_Data_Year!$F$58</definedName>
    <definedName name="AB_OP_Min_Year">Study_Data_Year!$E$58</definedName>
    <definedName name="AB_PB_Max_Year">Study_Data_Year!$F$53</definedName>
    <definedName name="AB_PB_Min_Year">Study_Data_Year!$E$53</definedName>
    <definedName name="AB_SN_Max_Year">Study_Data_Year!$F$59</definedName>
    <definedName name="AB_SN_Min_Year">Study_Data_Year!$E$59</definedName>
    <definedName name="About_the_App_A_File_Desc_Worksheet">About_Request_Form!$A$40</definedName>
    <definedName name="About_the_App_B_Encryotion_Levels_Worksheet">About_Request_Form!$A$44</definedName>
    <definedName name="About_the_App_D_Acronyms_Worksheet">About_Request_Form!$A$48</definedName>
    <definedName name="About_the_App_E_Glossary_Worksheet">About_Request_Form!$A$51</definedName>
    <definedName name="About_the_File_Level_Request_Worksheet">About_Request_Form!$A$17</definedName>
    <definedName name="About_the_PDE_Request_Worksheet">About_Request_Form!#REF!</definedName>
    <definedName name="About_the_Study_Info_Worksheet">About_Request_Form!$A$13</definedName>
    <definedName name="About_the_Summary_Worksheet">About_Request_Form!$A$36</definedName>
    <definedName name="Additional_Medicare_Summary_Files_Max_Year">Study_Data_Year!$F$81</definedName>
    <definedName name="Additional_Medicare_Summary_Files_Min_Year">Study_Data_Year!$E$81</definedName>
    <definedName name="C_Carrier_Max_Year">Study_Data_Year!$F$61</definedName>
    <definedName name="C_Carrier_Min_Year">Study_Data_Year!$E$61</definedName>
    <definedName name="C_DME_Max_Year">Study_Data_Year!$F$62</definedName>
    <definedName name="C_DME_Min_Year">Study_Data_Year!$E$62</definedName>
    <definedName name="C_HH_Max_Year">Study_Data_Year!$F$63</definedName>
    <definedName name="C_HH_Min_Year">Study_Data_Year!$E$63</definedName>
    <definedName name="C_IP_Max_Year">Study_Data_Year!$F$64</definedName>
    <definedName name="C_IP_Min_Year">Study_Data_Year!$E$64</definedName>
    <definedName name="C_OP_Max_Year">Study_Data_Year!$F$65</definedName>
    <definedName name="C_OP_Min_Year">Study_Data_Year!$E$65</definedName>
    <definedName name="C_SNF_Max_Year">Study_Data_Year!$F$66</definedName>
    <definedName name="C_SNF_Min_Year">Study_Data_Year!$E$66</definedName>
    <definedName name="DisplaySurveyName">Formulas_Validations!#REF!</definedName>
    <definedName name="DN_Max_Year">Study_Data_Year!$F$46</definedName>
    <definedName name="DN_Min_Year">Study_Data_Year!$E$46</definedName>
    <definedName name="Encryption_Lookup">Formulas_Validations!$B$11:$C$18</definedName>
    <definedName name="HEDIS_Max_Year">Study_Data_Year!$F$86</definedName>
    <definedName name="HEDIS_Min_Year">Study_Data_Year!$E$86</definedName>
    <definedName name="IRF_PAI_Max_Year">Study_Data_Year!$F$77</definedName>
    <definedName name="IRF_PAI_Min_Year">Study_Data_Year!$E$77</definedName>
    <definedName name="IRFPAI_Encryption_Level">#REF!</definedName>
    <definedName name="IRFPAI_Encryption_Lookup_Table">#REF!</definedName>
    <definedName name="MAX_IP_Max_Year">Study_Data_Year!$F$68</definedName>
    <definedName name="MAX_IP_Min_Year">Study_Data_Year!$E$68</definedName>
    <definedName name="MAX_LT_Max_Year">Study_Data_Year!$F$69</definedName>
    <definedName name="MAX_LT_Min_Year">Study_Data_Year!$E$69</definedName>
    <definedName name="MAX_OT_Max_Year">Study_Data_Year!$F$70</definedName>
    <definedName name="MAX_OT_Min_Year">Study_Data_Year!$E$70</definedName>
    <definedName name="MAX_PS_Max_Year">Study_Data_Year!$F$51</definedName>
    <definedName name="MAX_PS_Min_Year">Study_Data_Year!$E$51</definedName>
    <definedName name="MAX_RX_Max_Year">Study_Data_Year!$F$71</definedName>
    <definedName name="MAX_RX_Min_Year">Study_Data_Year!$E$71</definedName>
    <definedName name="MBSF_Base_Max_Year">Study_Data_Year!$F$47</definedName>
    <definedName name="MBSF_Base_Min_Year">Study_Data_Year!$E$47</definedName>
    <definedName name="MBSF_CC_Max_Year">Study_Data_Year!$F$48</definedName>
    <definedName name="MBSF_CC_Min_Year">Study_Data_Year!$E$48</definedName>
    <definedName name="MBSF_CU_Max_Year">Study_Data_Year!$F$49</definedName>
    <definedName name="MBSF_CU_Min_Year">Study_Data_Year!$E$49</definedName>
    <definedName name="MBSF_Other_Max_Year">Study_Data_Year!$F$50</definedName>
    <definedName name="MBSF_Other_Min_Year">Study_Data_Year!$E$50</definedName>
    <definedName name="MDS_Encryption_Level">#REF!</definedName>
    <definedName name="MDS_Encryption_Lookup_Table">#REF!</definedName>
    <definedName name="MDS_Max_Year">Study_Data_Year!$F$78</definedName>
    <definedName name="MDS_Min_Year">Study_Data_Year!$E$78</definedName>
    <definedName name="Medicaid_Claims_Data_Max_Year">Study_Data_Year!$F$85</definedName>
    <definedName name="Medicaid_Claims_Data_Min_Year">Study_Data_Year!$E$85</definedName>
    <definedName name="Medicaid_Enrollment_Data_Max_Year">Study_Data_Year!$F$82</definedName>
    <definedName name="Medicaid_Enrollment_Data_Min_Year">Study_Data_Year!$E$82</definedName>
    <definedName name="Medicare_Claims_Data_Max_Year">Study_Data_Year!$F$83</definedName>
    <definedName name="Medicare_Claims_Data_Min_Year">Study_Data_Year!$E$83</definedName>
    <definedName name="Medicare_Enrollment_Data_Max_Year">Study_Data_Year!$F$80</definedName>
    <definedName name="Medicare_Enrollment_Data_Min_Year">Study_Data_Year!$E$80</definedName>
    <definedName name="MedPAR_Max_Year">Study_Data_Year!$F$60</definedName>
    <definedName name="MedPAR_Min_Year">Study_Data_Year!$E$60</definedName>
    <definedName name="MTM_Max_Year">Study_Data_Year!$F$67</definedName>
    <definedName name="MTM_Min_Year">Study_Data_Year!$E$67</definedName>
    <definedName name="OASIS_Encryption_Level">#REF!</definedName>
    <definedName name="OASIS_Encryption_Lookup_Table">#REF!</definedName>
    <definedName name="OASIS_Max_Year">Study_Data_Year!$F$79</definedName>
    <definedName name="OASIS_Min_Year">Study_Data_Year!$E$79</definedName>
    <definedName name="Part_C_Claims_Data_Max_Year">Study_Data_Year!$F$84</definedName>
    <definedName name="Part_C_Claims_Data_Min_Year">Study_Data_Year!$E$84</definedName>
    <definedName name="PDE_Encryption_Lookup_Table">#REF!</definedName>
    <definedName name="PDE_Max_Year">Study_Data_Year!$F$76</definedName>
    <definedName name="PDE_Min_Year">Study_Data_Year!$E$76</definedName>
    <definedName name="SelectSoftware">Research_Project_Info!$C$27</definedName>
    <definedName name="SelectSurvey">Research_Project_Info!$C$23</definedName>
    <definedName name="Study_Data_Year_Lookup">Study_Data_Year!$D$7:$F$42</definedName>
    <definedName name="StudyName">Study_Data_Year!$E$3</definedName>
    <definedName name="SurveyNameLookUp">Formulas_Validations!$B$5:$D$7</definedName>
    <definedName name="Table_of_Contents">About_Request_Form!$A$5</definedName>
    <definedName name="TMSIS_DE_Max_Year">Study_Data_Year!$F$52</definedName>
    <definedName name="TMSIS_DE_Min_Year">Study_Data_Year!$E$52</definedName>
    <definedName name="TMSIS_IP_Max_Year">Study_Data_Year!$F$72</definedName>
    <definedName name="TMSIS_IP_Min_Year">Study_Data_Year!$E$72</definedName>
    <definedName name="TMSIS_LT_Max_Year">Study_Data_Year!$F$73</definedName>
    <definedName name="TMSIS_LT_Min_Year">Study_Data_Year!$E$73</definedName>
    <definedName name="TMSIS_OT_Max_Year">Study_Data_Year!$F$74</definedName>
    <definedName name="TMSIS_OT_Min_Year">Study_Data_Year!$E$74</definedName>
    <definedName name="TMSIS_RX_Max_Year">Study_Data_Year!$F$75</definedName>
    <definedName name="TMSIS_RX_Min_Year">Study_Data_Year!$E$75</definedName>
    <definedName name="Update_Request_Form">Research_Project_Info!$C$31</definedName>
    <definedName name="Z_9DB63C14_8C2E_43D7_ACAD_1DD967C25093_.wvu.FilterData" localSheetId="5" hidden="1">'File-Level_Request'!#REF!</definedName>
  </definedNames>
  <calcPr calcId="191029"/>
  <customWorkbookViews>
    <customWorkbookView name="Grant Guan - Personal View" guid="{9DB63C14-8C2E-43D7-ACAD-1DD967C25093}" mergeInterval="0" personalView="1" xWindow="2050" yWindow="86" windowWidth="2303" windowHeight="1826" tabRatio="952"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22" l="1"/>
  <c r="F75" i="18" l="1"/>
  <c r="G75" i="18"/>
  <c r="B7" i="14" l="1"/>
  <c r="D42" i="30" l="1"/>
  <c r="D243" i="15" l="1"/>
  <c r="D242" i="15"/>
  <c r="D241" i="15"/>
  <c r="D240" i="15"/>
  <c r="D239" i="15"/>
  <c r="D238" i="15"/>
  <c r="D237" i="15"/>
  <c r="D236" i="15"/>
  <c r="D235" i="15"/>
  <c r="D234" i="15"/>
  <c r="D233" i="15"/>
  <c r="D232" i="15"/>
  <c r="C50" i="22" l="1"/>
  <c r="D5" i="15" l="1"/>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4" i="15"/>
  <c r="D9" i="30" l="1"/>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8" i="30"/>
  <c r="E3" i="30"/>
  <c r="E86" i="30" l="1"/>
  <c r="F86" i="30"/>
  <c r="E73" i="30"/>
  <c r="F73" i="30"/>
  <c r="E74" i="30"/>
  <c r="F75" i="30"/>
  <c r="E72" i="30"/>
  <c r="F74" i="30"/>
  <c r="E75" i="30"/>
  <c r="F72" i="30"/>
  <c r="E62" i="30"/>
  <c r="E66" i="30"/>
  <c r="F63" i="30"/>
  <c r="F62" i="30"/>
  <c r="F66" i="30"/>
  <c r="F61" i="30"/>
  <c r="E61" i="30"/>
  <c r="E63" i="30"/>
  <c r="E64" i="30"/>
  <c r="E65" i="30"/>
  <c r="F65" i="30"/>
  <c r="F64" i="30"/>
  <c r="F52" i="30"/>
  <c r="E52" i="30"/>
  <c r="F50" i="30"/>
  <c r="E50" i="30"/>
  <c r="E48" i="30"/>
  <c r="F49" i="30"/>
  <c r="E49" i="30"/>
  <c r="F48" i="30"/>
  <c r="E20" i="14"/>
  <c r="C18" i="14"/>
  <c r="D15" i="14"/>
  <c r="E12" i="14"/>
  <c r="C10" i="14"/>
  <c r="D20" i="14"/>
  <c r="E17" i="14"/>
  <c r="C15" i="14"/>
  <c r="D12" i="14"/>
  <c r="E9" i="14"/>
  <c r="E10" i="14"/>
  <c r="E15" i="14"/>
  <c r="C20" i="14"/>
  <c r="D17" i="14"/>
  <c r="E14" i="14"/>
  <c r="C12" i="14"/>
  <c r="D9" i="14"/>
  <c r="D18" i="14"/>
  <c r="E19" i="14"/>
  <c r="C17" i="14"/>
  <c r="D14" i="14"/>
  <c r="E11" i="14"/>
  <c r="C9" i="14"/>
  <c r="D13" i="14"/>
  <c r="D19" i="14"/>
  <c r="E16" i="14"/>
  <c r="C14" i="14"/>
  <c r="D11" i="14"/>
  <c r="C16" i="14"/>
  <c r="C13" i="14"/>
  <c r="C19" i="14"/>
  <c r="D16" i="14"/>
  <c r="E13" i="14"/>
  <c r="C11" i="14"/>
  <c r="E18" i="14"/>
  <c r="D10" i="14"/>
  <c r="E53" i="30"/>
  <c r="E58" i="30"/>
  <c r="F78" i="30"/>
  <c r="F76" i="30"/>
  <c r="E76" i="30"/>
  <c r="E78" i="30"/>
  <c r="E77" i="30"/>
  <c r="F77" i="30"/>
  <c r="E79" i="30"/>
  <c r="F79" i="30"/>
  <c r="E47" i="30"/>
  <c r="F57" i="30"/>
  <c r="E54" i="30"/>
  <c r="E57" i="30"/>
  <c r="E59" i="30"/>
  <c r="E55" i="30"/>
  <c r="E56" i="30"/>
  <c r="F53" i="30"/>
  <c r="F59" i="30"/>
  <c r="E51" i="30"/>
  <c r="F54" i="30"/>
  <c r="F58" i="30"/>
  <c r="F47" i="30"/>
  <c r="F55" i="30"/>
  <c r="F69" i="30"/>
  <c r="E69" i="30"/>
  <c r="F68" i="30"/>
  <c r="E68" i="30"/>
  <c r="E70" i="30"/>
  <c r="F67" i="30"/>
  <c r="F60" i="30"/>
  <c r="E67" i="30"/>
  <c r="F70" i="30"/>
  <c r="E71" i="30"/>
  <c r="F71" i="30"/>
  <c r="F51" i="30"/>
  <c r="E60" i="30"/>
  <c r="F56" i="30"/>
  <c r="E46" i="30"/>
  <c r="F46" i="30"/>
  <c r="D75" i="18" l="1"/>
  <c r="D95" i="18"/>
  <c r="F95" i="18" s="1"/>
  <c r="D101" i="18"/>
  <c r="E101" i="18" s="1"/>
  <c r="D107" i="18"/>
  <c r="F107" i="18" s="1"/>
  <c r="D58" i="18"/>
  <c r="D86" i="18"/>
  <c r="D89" i="18"/>
  <c r="D87" i="18"/>
  <c r="D39" i="18"/>
  <c r="D32" i="18"/>
  <c r="D88" i="18"/>
  <c r="E82" i="30"/>
  <c r="D62" i="18"/>
  <c r="D61" i="18"/>
  <c r="D59" i="18"/>
  <c r="D63" i="18"/>
  <c r="D60" i="18"/>
  <c r="F82" i="30"/>
  <c r="E85" i="30"/>
  <c r="F85" i="30"/>
  <c r="E84" i="30"/>
  <c r="F84" i="30"/>
  <c r="D31" i="18"/>
  <c r="G31" i="18" s="1"/>
  <c r="D30" i="18"/>
  <c r="E30" i="18" s="1"/>
  <c r="F81" i="30"/>
  <c r="E81" i="30"/>
  <c r="F80" i="30"/>
  <c r="D82" i="18"/>
  <c r="D69" i="18"/>
  <c r="F69" i="18" s="1"/>
  <c r="D49" i="18"/>
  <c r="D46" i="18"/>
  <c r="D52" i="18"/>
  <c r="D85" i="18"/>
  <c r="D84" i="18"/>
  <c r="D48" i="18"/>
  <c r="D47" i="18"/>
  <c r="D83" i="18"/>
  <c r="D38" i="18"/>
  <c r="D51" i="18"/>
  <c r="D50" i="18"/>
  <c r="D45" i="18"/>
  <c r="D24" i="18"/>
  <c r="D23" i="18"/>
  <c r="F83" i="30"/>
  <c r="E83" i="30"/>
  <c r="E80" i="30"/>
  <c r="C47" i="22" l="1"/>
  <c r="H101" i="18"/>
  <c r="E107" i="18"/>
  <c r="C13" i="22"/>
  <c r="H30" i="18"/>
  <c r="E75" i="18"/>
  <c r="H75" i="18" s="1"/>
  <c r="G107" i="18"/>
  <c r="F101" i="18"/>
  <c r="I101" i="18"/>
  <c r="E95" i="18"/>
  <c r="G95" i="18"/>
  <c r="G101" i="18"/>
  <c r="E69" i="18"/>
  <c r="H69" i="18" s="1"/>
  <c r="G69" i="18"/>
  <c r="E52" i="18"/>
  <c r="H52" i="18" s="1"/>
  <c r="G52" i="18"/>
  <c r="F52" i="18"/>
  <c r="E13" i="22"/>
  <c r="D13" i="22"/>
  <c r="E39" i="18"/>
  <c r="H39" i="18" s="1"/>
  <c r="F39" i="18"/>
  <c r="G39" i="18"/>
  <c r="G62" i="18"/>
  <c r="G58" i="18"/>
  <c r="F62" i="18"/>
  <c r="F58" i="18"/>
  <c r="E60" i="18"/>
  <c r="G61" i="18"/>
  <c r="E63" i="18"/>
  <c r="F59" i="18"/>
  <c r="F61" i="18"/>
  <c r="E62" i="18"/>
  <c r="E59" i="18"/>
  <c r="E58" i="18"/>
  <c r="G60" i="18"/>
  <c r="E61" i="18"/>
  <c r="F60" i="18"/>
  <c r="G63" i="18"/>
  <c r="G59" i="18"/>
  <c r="F63" i="18"/>
  <c r="F38" i="18"/>
  <c r="G30" i="18"/>
  <c r="G89" i="18"/>
  <c r="E86" i="18"/>
  <c r="F89" i="18"/>
  <c r="F86" i="18"/>
  <c r="F87" i="18"/>
  <c r="G86" i="18"/>
  <c r="E87" i="18"/>
  <c r="F88" i="18"/>
  <c r="G87" i="18"/>
  <c r="E88" i="18"/>
  <c r="G88" i="18"/>
  <c r="E89" i="18"/>
  <c r="I30" i="18"/>
  <c r="F30" i="18"/>
  <c r="E31" i="18"/>
  <c r="F31" i="18"/>
  <c r="F32" i="18"/>
  <c r="E32" i="18"/>
  <c r="G32" i="18"/>
  <c r="G50" i="18"/>
  <c r="G49" i="18"/>
  <c r="G48" i="18"/>
  <c r="F46" i="18"/>
  <c r="G38" i="18"/>
  <c r="F83" i="18"/>
  <c r="F82" i="18"/>
  <c r="G82" i="18"/>
  <c r="E82" i="18"/>
  <c r="H82" i="18" s="1"/>
  <c r="G84" i="18"/>
  <c r="F85" i="18"/>
  <c r="G83" i="18"/>
  <c r="F84" i="18"/>
  <c r="G85" i="18"/>
  <c r="E38" i="18"/>
  <c r="H38" i="18" s="1"/>
  <c r="F24" i="18"/>
  <c r="G24" i="18"/>
  <c r="G23" i="18"/>
  <c r="F23" i="18"/>
  <c r="E84" i="18"/>
  <c r="E85" i="18"/>
  <c r="E83" i="18"/>
  <c r="E24" i="18"/>
  <c r="E23" i="18"/>
  <c r="H23" i="18" s="1"/>
  <c r="F45" i="18"/>
  <c r="G45" i="18"/>
  <c r="F47" i="18"/>
  <c r="E45" i="18"/>
  <c r="H45" i="18" s="1"/>
  <c r="G47" i="18"/>
  <c r="E47" i="18"/>
  <c r="H47" i="18" s="1"/>
  <c r="E51" i="18"/>
  <c r="H51" i="18" s="1"/>
  <c r="F51" i="18"/>
  <c r="G51" i="18"/>
  <c r="E50" i="18"/>
  <c r="H50" i="18" s="1"/>
  <c r="F50" i="18"/>
  <c r="E49" i="18"/>
  <c r="H49" i="18" s="1"/>
  <c r="F49" i="18"/>
  <c r="E48" i="18"/>
  <c r="H48" i="18" s="1"/>
  <c r="F48" i="18"/>
  <c r="G46" i="18"/>
  <c r="E46" i="18"/>
  <c r="H46" i="18" s="1"/>
  <c r="C36" i="22" l="1"/>
  <c r="C15" i="22"/>
  <c r="H32" i="18"/>
  <c r="C44" i="22"/>
  <c r="H88" i="18"/>
  <c r="C42" i="22"/>
  <c r="H86" i="18"/>
  <c r="C32" i="22"/>
  <c r="H61" i="18"/>
  <c r="C39" i="22"/>
  <c r="H83" i="18"/>
  <c r="C31" i="22"/>
  <c r="H60" i="18"/>
  <c r="C41" i="22"/>
  <c r="H85" i="18"/>
  <c r="C29" i="22"/>
  <c r="H58" i="18"/>
  <c r="C46" i="22"/>
  <c r="E46" i="22" s="1"/>
  <c r="H95" i="18"/>
  <c r="C40" i="22"/>
  <c r="H84" i="18"/>
  <c r="C14" i="22"/>
  <c r="D14" i="22" s="1"/>
  <c r="H31" i="18"/>
  <c r="C43" i="22"/>
  <c r="H87" i="18"/>
  <c r="C30" i="22"/>
  <c r="D30" i="22" s="1"/>
  <c r="H59" i="18"/>
  <c r="C34" i="22"/>
  <c r="H63" i="18"/>
  <c r="C33" i="22"/>
  <c r="H62" i="18"/>
  <c r="H107" i="18"/>
  <c r="C48" i="22"/>
  <c r="E48" i="22" s="1"/>
  <c r="C45" i="22"/>
  <c r="E45" i="22" s="1"/>
  <c r="H89" i="18"/>
  <c r="I75" i="18"/>
  <c r="C11" i="22"/>
  <c r="H24" i="18"/>
  <c r="D36" i="22"/>
  <c r="E36" i="22"/>
  <c r="E47" i="22"/>
  <c r="D47" i="22"/>
  <c r="I95" i="18"/>
  <c r="I107" i="18"/>
  <c r="E29" i="22"/>
  <c r="D29" i="22"/>
  <c r="E41" i="22"/>
  <c r="D41" i="22"/>
  <c r="E30" i="22"/>
  <c r="E15" i="22"/>
  <c r="D15" i="22"/>
  <c r="D33" i="22"/>
  <c r="E33" i="22"/>
  <c r="D44" i="22"/>
  <c r="E44" i="22"/>
  <c r="D42" i="22"/>
  <c r="E42" i="22"/>
  <c r="D40" i="22"/>
  <c r="E40" i="22"/>
  <c r="D11" i="22"/>
  <c r="E11" i="22"/>
  <c r="E14" i="22"/>
  <c r="D34" i="22"/>
  <c r="E34" i="22"/>
  <c r="E39" i="22"/>
  <c r="D39" i="22"/>
  <c r="D43" i="22"/>
  <c r="E43" i="22"/>
  <c r="E32" i="22"/>
  <c r="D32" i="22"/>
  <c r="C18" i="22"/>
  <c r="D31" i="22"/>
  <c r="E31" i="22"/>
  <c r="I39" i="18"/>
  <c r="I87" i="18"/>
  <c r="I63" i="18"/>
  <c r="I61" i="18"/>
  <c r="I89" i="18"/>
  <c r="I60" i="18"/>
  <c r="I58" i="18"/>
  <c r="I88" i="18"/>
  <c r="I86" i="18"/>
  <c r="I59" i="18"/>
  <c r="I62" i="18"/>
  <c r="I32" i="18"/>
  <c r="I31" i="18"/>
  <c r="D45" i="22" l="1"/>
  <c r="D46" i="22"/>
  <c r="E18" i="22"/>
  <c r="D18" i="22"/>
  <c r="I50" i="18" l="1"/>
  <c r="C25" i="22" l="1"/>
  <c r="E25" i="22" l="1"/>
  <c r="D25" i="22"/>
  <c r="C35" i="22"/>
  <c r="I69" i="18"/>
  <c r="C38" i="22"/>
  <c r="I82" i="18"/>
  <c r="C24" i="22"/>
  <c r="I49" i="18"/>
  <c r="C23" i="22"/>
  <c r="I48" i="18"/>
  <c r="C22" i="22"/>
  <c r="I47" i="18"/>
  <c r="C21" i="22"/>
  <c r="D21" i="22" s="1"/>
  <c r="I46" i="18"/>
  <c r="C20" i="22"/>
  <c r="I45" i="18"/>
  <c r="C27" i="22"/>
  <c r="I52" i="18"/>
  <c r="C26" i="22"/>
  <c r="I51" i="18"/>
  <c r="C17" i="22"/>
  <c r="I38" i="18"/>
  <c r="E20" i="22" l="1"/>
  <c r="D20" i="22"/>
  <c r="E38" i="22"/>
  <c r="D38" i="22"/>
  <c r="E17" i="22"/>
  <c r="D17" i="22"/>
  <c r="E26" i="22"/>
  <c r="D26" i="22"/>
  <c r="E22" i="22"/>
  <c r="D22" i="22"/>
  <c r="E35" i="22"/>
  <c r="D35" i="22"/>
  <c r="E24" i="22"/>
  <c r="D24" i="22"/>
  <c r="E27" i="22"/>
  <c r="D27" i="22"/>
  <c r="E23" i="22"/>
  <c r="D23" i="22"/>
  <c r="E21" i="22"/>
  <c r="I83" i="18"/>
  <c r="I85" i="18" l="1"/>
  <c r="I84" i="18"/>
  <c r="C10" i="22" l="1"/>
  <c r="E10" i="22" l="1"/>
  <c r="D10" i="22"/>
  <c r="I23" i="18"/>
  <c r="I24" i="18"/>
</calcChain>
</file>

<file path=xl/sharedStrings.xml><?xml version="1.0" encoding="utf-8"?>
<sst xmlns="http://schemas.openxmlformats.org/spreadsheetml/2006/main" count="2397" uniqueCount="629">
  <si>
    <t>Select X to Request</t>
  </si>
  <si>
    <t>YEAR(S) AVAILABLE</t>
  </si>
  <si>
    <t>Health and Retirement Study (HRS)</t>
  </si>
  <si>
    <t>Wisconsin Longitudinal Study (WLS)</t>
  </si>
  <si>
    <t>Predictors of Severity of Alzheimer’s Disease Study (PSAD)</t>
  </si>
  <si>
    <t>Standard</t>
  </si>
  <si>
    <t>Not available at this time</t>
  </si>
  <si>
    <r>
      <rPr>
        <sz val="16"/>
        <color rgb="FFFF0000"/>
        <rFont val="Franklin Gothic Book"/>
        <family val="2"/>
      </rPr>
      <t>Internal-Only</t>
    </r>
    <r>
      <rPr>
        <sz val="16"/>
        <color theme="1"/>
        <rFont val="Franklin Gothic Book"/>
        <family val="2"/>
      </rPr>
      <t xml:space="preserve"> Workbook Formulas and Validations</t>
    </r>
  </si>
  <si>
    <t>This worksheet contains the formulas and validations featured in this Request Form.</t>
  </si>
  <si>
    <t>N/A</t>
  </si>
  <si>
    <t>NLTCS</t>
  </si>
  <si>
    <t>LLFS</t>
  </si>
  <si>
    <t>Encrypted</t>
  </si>
  <si>
    <t>Blanked</t>
  </si>
  <si>
    <t>Dropped</t>
  </si>
  <si>
    <t>Aggregated as yyyy-mm-01</t>
  </si>
  <si>
    <t>MDS</t>
  </si>
  <si>
    <t>PSAD</t>
  </si>
  <si>
    <t>X</t>
  </si>
  <si>
    <t>Included</t>
  </si>
  <si>
    <t>FILE NAME</t>
  </si>
  <si>
    <t>Denominator (DN)</t>
  </si>
  <si>
    <t>The Rush Alzheimer’s Disease Center (RADC)</t>
  </si>
  <si>
    <t>Dynamics of Health, Aging, and Body Composition (Health ABC)</t>
  </si>
  <si>
    <t>SURVEY NAME</t>
  </si>
  <si>
    <t>RadioButton Value</t>
  </si>
  <si>
    <t>Not Included</t>
  </si>
  <si>
    <t>NotIncluded</t>
  </si>
  <si>
    <t>Not available to Request</t>
  </si>
  <si>
    <t>REQUESTED?</t>
  </si>
  <si>
    <t>Summary of Request</t>
  </si>
  <si>
    <t>Appendix A File Description</t>
  </si>
  <si>
    <t>Save this Excel file, and proceed to the next tab.</t>
  </si>
  <si>
    <t>Geographic</t>
  </si>
  <si>
    <t>Provider</t>
  </si>
  <si>
    <t>FILE</t>
  </si>
  <si>
    <t>DESCRIPTION</t>
  </si>
  <si>
    <t>Not Available Based on Survey’s Current CMS Data Offering</t>
  </si>
  <si>
    <t>Forthcoming: National Health and Aging Trends Study (NHATS)</t>
  </si>
  <si>
    <t>Forthcoming: National Social Life, Health, and Aging Project (NSHAP)</t>
  </si>
  <si>
    <t>Forthcoming: Baltimore Longitudinal Study of Aging (BLSA)</t>
  </si>
  <si>
    <t>Forthcoming: Long-Life Family Study Data Management and Coordinating Center (LLFS)</t>
  </si>
  <si>
    <t>Forthcoming: National Long Term Care Survey (NLTCS)</t>
  </si>
  <si>
    <t>Forthcoming: Panel Study of Income Dynamics (PSID)</t>
  </si>
  <si>
    <t>HRS</t>
  </si>
  <si>
    <t>Aggregated</t>
  </si>
  <si>
    <t>Blanked/Dropped Based on Survey’s Security Specifications for CMS Data</t>
  </si>
  <si>
    <t>WLS</t>
  </si>
  <si>
    <t>Table of Contents</t>
  </si>
  <si>
    <t>PDE_Request</t>
  </si>
  <si>
    <t>Summary</t>
  </si>
  <si>
    <t>Forthcoming: Care Ecosystem (CE)</t>
  </si>
  <si>
    <t>Forthcoming: Chicago Health and Aging Project (CHAP)</t>
  </si>
  <si>
    <t>Forthcoming: Useful Field of View Training (UFOVT) Randomized Control Trials</t>
  </si>
  <si>
    <t>Forthcoming: Aging with Pride: National Health, Aging, and Sexuality/Gender Study (NHAS)</t>
  </si>
  <si>
    <t>Forthcoming: Boston Early Adversity &amp; Mortality Study (BEAMS)</t>
  </si>
  <si>
    <t>Inpatient Rehab Facility-Patient Assessment Instrument (IRF-PAI)</t>
  </si>
  <si>
    <t>Data Element</t>
  </si>
  <si>
    <t>Social Security Number</t>
  </si>
  <si>
    <t>Medicare or Medicaid Beneficiary Number</t>
  </si>
  <si>
    <t>Surname</t>
  </si>
  <si>
    <t>Beneficiary Identification Number (BID) [Random]</t>
  </si>
  <si>
    <t>Unencrypted</t>
  </si>
  <si>
    <t>Exact Dates of Service</t>
  </si>
  <si>
    <t>Beneficiary State Code/County Code/Zip Code</t>
  </si>
  <si>
    <t>Provider Characteristics (e.g., National Provider Identifiers (NPIs), Unique Provider Identification Numbers (UPINs))</t>
  </si>
  <si>
    <t>CMS Certification Number (CCN)</t>
  </si>
  <si>
    <t>Hospitals/Facilities</t>
  </si>
  <si>
    <t>Part C/D Health Plans</t>
  </si>
  <si>
    <t>DEFINITION</t>
  </si>
  <si>
    <t>Review the files that you have requested in this Form.</t>
  </si>
  <si>
    <t>1a</t>
  </si>
  <si>
    <t>1b</t>
  </si>
  <si>
    <t>File-Level Request</t>
  </si>
  <si>
    <t>Select Start Year</t>
  </si>
  <si>
    <t>Select End Year</t>
  </si>
  <si>
    <t>Select a Survey</t>
  </si>
  <si>
    <t>Date of Birth</t>
  </si>
  <si>
    <t>Gender/Race</t>
  </si>
  <si>
    <t>Survey Name</t>
  </si>
  <si>
    <t>Survey</t>
  </si>
  <si>
    <t>LookupName</t>
  </si>
  <si>
    <t>NHAS</t>
  </si>
  <si>
    <t>BLSA</t>
  </si>
  <si>
    <t>BEAMS</t>
  </si>
  <si>
    <t>CE</t>
  </si>
  <si>
    <t>CHAP</t>
  </si>
  <si>
    <t>HABC</t>
  </si>
  <si>
    <t>MIDUS</t>
  </si>
  <si>
    <t>NHATS</t>
  </si>
  <si>
    <t>NSHAP</t>
  </si>
  <si>
    <t>PSID</t>
  </si>
  <si>
    <t>PT</t>
  </si>
  <si>
    <t>RADC</t>
  </si>
  <si>
    <t>UAS</t>
  </si>
  <si>
    <t>UFOVT</t>
  </si>
  <si>
    <t>Forthcoming</t>
  </si>
  <si>
    <t>Back to top</t>
  </si>
  <si>
    <t xml:space="preserve">Long Term Care Minimum Data Set (MDS)   </t>
  </si>
  <si>
    <t>The MDS file contains physical and cognitive assessments of beneficiaries who receive long-term care services and long-term care providers' evaluations of long-term care beneficiaries' health. The information includes beneficiary demographics, cognitive health status, diagnosis codes, diagnosis codes, mood status, physical evaluations, procedure codes, processing codes, provider characteristics, service dates, and social behavior. 
There are two types of MDS data: nursing home and swing beds. Both types of data have two versions: Version 2.0, which covers 1999 to 2010; and Version 3.0, which covers 2010 to now. NOTE: We do not currently offer MDS swing-bed data; however, we do offer MDS nursing home data.</t>
  </si>
  <si>
    <t xml:space="preserve">Medicaid Analytic eXtract (MAX) </t>
  </si>
  <si>
    <t>Medicare Enrollment Data</t>
  </si>
  <si>
    <t xml:space="preserve">Medicare Part A &amp; B Claims Data </t>
  </si>
  <si>
    <t>Medicare Part D Medication Therapy Management (MTM)</t>
  </si>
  <si>
    <t xml:space="preserve">The MTM file contains medication therapy information—including drug recommendations, drug reviews, enrollment dates, plan enrollment, and provider characteristics—for beneficiaries enrolled in the Part D MTM program. </t>
  </si>
  <si>
    <t>Medicare Part D Prescription Drug Event (PDE)</t>
  </si>
  <si>
    <t>The PDE file contains prescription drug information, pharmacy identifiers, and service costs for beneficiaries enrolled in the Part D program, through either a Prescription Drug Plan (PDP) or a Medicare Advantage Prescription Drug Plan (MA-PD).</t>
  </si>
  <si>
    <t>Outcome and Assessment Information Set (OASIS)</t>
  </si>
  <si>
    <t>The OASIS file contains physical and cognitive assessments of beneficiaries who receive home health care from a Medicare-certified home health agency. The information includes cognitive health status, diagnosis codes, living environment, mood status, physical evaluations, processing codes, service dates, and social behavior. 
There are two versions of OASIS data: Version B1, which covers 1999 to 2010; and Version C, which covers 2010 to now.</t>
  </si>
  <si>
    <t>Medicaid Analytic eXtract (MAX) Inpatient (IP) Claims</t>
  </si>
  <si>
    <t>Medicaid Analytic eXtract (MAX) Long Term Care (LT) Claims</t>
  </si>
  <si>
    <t>Medicaid Analytic eXtract (MAX) Other Services (OT) Claims</t>
  </si>
  <si>
    <t>Medicaid Analytic eXtract (MAX) Personal Summary (PS) Enrollment Data</t>
  </si>
  <si>
    <t>The MAX PS file contains demographic, eligibility, and enrollment information for Medicaid beneficiaries.</t>
  </si>
  <si>
    <t>Medicaid Analytic eXtract (MAX) Prescription Drug (RX) Data</t>
  </si>
  <si>
    <t>The MAX RX file contains information on Medicaid beneficiaries’ prescribed drugs and drug fills, when a Medicaid managed care organization pays for those drugs.</t>
  </si>
  <si>
    <t>The DN file contains beneficiary demographic (e.g., age, gender, and race), eligibility (e.g., how the beneficiary qualified for Medicare benefits), and enrollment (e.g., Medicare programs that the beneficiary is enrolled in) information for Medicare Parts A and B data.</t>
  </si>
  <si>
    <t>The MBSF-Base Segment file contains beneficiary demographic, eligibility, and enrollment information for Medicare Parts A, B, C (starting in 1999), and D (starting in 2006).</t>
  </si>
  <si>
    <t>Medicare Carrier (PB)  Fee-for-Service (FFS) Claims</t>
  </si>
  <si>
    <t>Medicare Durable Medical Equipment (DME) Fee-for-Service (FFS) Claims</t>
  </si>
  <si>
    <t>Medicare Home Health (HH) Fee-for-Service (FFS) Claims</t>
  </si>
  <si>
    <t>Medicare Hospice (HS) Fee-for-Service (FFS) Claims</t>
  </si>
  <si>
    <t>Medicare Inpatient (IP) Fee-for-Service (FFS) Claims</t>
  </si>
  <si>
    <t>The Medicare IP file contains health services information (e.g., diagnose codes, drug codes, and procedure codes) from overnight inpatient hospital stays for Medicare beneficiaries.</t>
  </si>
  <si>
    <t>Medicare Outpatient (OP) Fee-for-Service (FFS) Claims</t>
  </si>
  <si>
    <t>Medicare Skilled Nursing Facility (SNF) Fee-for-Service (FFS) Claims</t>
  </si>
  <si>
    <t>Medicare Carrier Encounter Claims</t>
  </si>
  <si>
    <t>Medicare Durable Medical Equipment (DME) Encounter</t>
  </si>
  <si>
    <t>Medicare Home Health Agency (HH) Encounter Claims</t>
  </si>
  <si>
    <t>Medicare Inpatient (IP) Encounter Claims</t>
  </si>
  <si>
    <t>Medicare Outpatient (OP) Encounter Claims</t>
  </si>
  <si>
    <t>Medicare Skilled Nursing Facility (SNF) Encounter Claims</t>
  </si>
  <si>
    <t>Part D Drug Data</t>
  </si>
  <si>
    <t>TMSIS Analytic Files (TAF) Demographic and Eligibility (DE) Enrollment Data</t>
  </si>
  <si>
    <t>TMSIS Analytic Files (TAF) Inpatient (IP) Claims</t>
  </si>
  <si>
    <t>TMSIS Analytic Files (TAF) Long Term Care (LT) Claims</t>
  </si>
  <si>
    <t>TMSIS Analytic Files (TAF) Other Services (OT) Claims</t>
  </si>
  <si>
    <t>TMSIS Analytic Files (TAF) Pharmacy (RX) Data</t>
  </si>
  <si>
    <r>
      <t>Save this Excel file, and proceed to the next tab.</t>
    </r>
    <r>
      <rPr>
        <sz val="11"/>
        <color rgb="FF7E542A"/>
        <rFont val="Segoe UI Semibold"/>
        <family val="2"/>
      </rPr>
      <t/>
    </r>
  </si>
  <si>
    <t>NIA DUA INFORMATION</t>
  </si>
  <si>
    <t>The MAX IP file contains health services information (e.g., provider characteristics, service costs, and service dates) from overnight inpatient hospital stays to Medicaid beneficiaries.</t>
  </si>
  <si>
    <t>The MAX LT file contains health services information (e.g., facility type, dates of service, and discharge status) from institutional long term care facilities (e.g., nursing facility services) for Medicaid beneficiaries.</t>
  </si>
  <si>
    <t>The MAX OT file contains health services information (e.g., dates of service, diagnoses codes, and procedure codes) from a host of other Medicaid services (e.g., physician services, clinic services, and home health) for Medicaid beneficiaries.</t>
  </si>
  <si>
    <t>The Medicare HS file contains health services information (e.g., procedure codes, provider characteristics, and service costs) from healthcare providers or facilities that offer care to terminally ill Medicare beneficiaries.</t>
  </si>
  <si>
    <t>The Medicare OP file contains health services information (e.g., beneficiary demographics, procedure codes, and processing codes) from institutional outpatient providers (e.g., outpatient rehabilitation facilities and renal dialysis facilities) for Medicare beneficiaries.</t>
  </si>
  <si>
    <t>The Medicare SNF file contains health services information (e.g., diagnoses codes, facility type, and processing codes) from facilities that provide skilled nursing and therapy care to Medicare beneficiaries.</t>
  </si>
  <si>
    <t>The MedPAR file contains health service information (e.g., eligibility status, processing codes, and service costs) from two Part A settings–Inpatient (IP) and Skilled Nursing Facility (SNF)– organized into stays, where 'stay' refers to the time between a beneficiary's admission to an IP or SNF facility and the beneficiary's discharge from the facility.</t>
  </si>
  <si>
    <t>The Medicare DME file contains health services information on items (e.g., prosthetic device, ventilator, and wheelchair) that are medically necessary and doctor-prescribed to Medicare beneficiaries. DME suppliers submit these claims.</t>
  </si>
  <si>
    <t>The Medicare PB file contains health services information (e.g., dates of service, diagnoses codes, and procedure codes) from professional non-institutional providers (e.g., individual/group practitioners, non-hospital labs, or physicians) for Medicare beneficiaries.</t>
  </si>
  <si>
    <t>Master Beneficiary Summary File (MBSF): Base – Segment (A/B/C/D)</t>
  </si>
  <si>
    <t>Master Beneficiary Summary File (MBSF): Chronic Conditions</t>
  </si>
  <si>
    <t>Master Beneficiary Summary File (MBSF): Cost &amp; Utilization</t>
  </si>
  <si>
    <t xml:space="preserve">Master Beneficiary Summary File (MBSF): Other Chronic or Potentially Disabling Conditions </t>
  </si>
  <si>
    <t>Select X to Request All Files in Category</t>
  </si>
  <si>
    <t>Medicaid Enrollment Data</t>
  </si>
  <si>
    <t xml:space="preserve">Medicaid Claims Data </t>
  </si>
  <si>
    <t xml:space="preserve">Medicare Enrollment Data
</t>
  </si>
  <si>
    <t xml:space="preserve">Additional Medicare Summary Files
</t>
  </si>
  <si>
    <t xml:space="preserve">Medicaid Enrollment Data
</t>
  </si>
  <si>
    <t xml:space="preserve">Medicare Part A &amp; B Claims Data 
</t>
  </si>
  <si>
    <t xml:space="preserve">Part C Claims Data 
</t>
  </si>
  <si>
    <t>Medicaid Claims Data</t>
  </si>
  <si>
    <t>The Medicare HH file contains health services information (e.g., diagnoses codes, discharge status, and service costs) from agencies that provide home healthcare services (e.g., skilled care, home health aide, and physical therapy) to Medicare beneficiaries.</t>
  </si>
  <si>
    <t>The DN file contains beneficiary demographic (e.g., age, gender, and race), eligibility (e.g., how the beneficiary qualified for Medicare benefits), and enrollment (e.g., Medicare programs that the beneficiary is enrolled in) information for Medicare Parts A and B data.
The MBSF-Base Segment file contains beneficiary demographic, eligibility, and enrollment information for Medicare Parts A, B, C (starting in 1999), and D (starting in 2006).
The MBSF Chronic Conditions file contains information on the presence of one of twenty-seven chronic conditions (e.g., asthma, depression) among Medicare beneficiaries. For more information, refer to the Chronic Conditions Data Warehouse (CCW)’s full list of chronic conditions categories.
The MBSF Cost and Utilization file contains information on the utilization of, and annual payments for, services rendered to Medicare beneficiaries.
The MBSF Other Chronic or Potentially Disabling Conditions contains information on the presence of one of forty other chronic or potentially disabling conditions (e.g., epilepsy, schizophrenia) among Medicare beneficiaries. For more information, refer to the CCW’s full list of other chronic or potentially disabling conditions.</t>
  </si>
  <si>
    <t>IRF-PAI</t>
  </si>
  <si>
    <t>SurveyNameLookUp</t>
  </si>
  <si>
    <t>Encryption Availability Lookup</t>
  </si>
  <si>
    <t>Value Display on Availability Column</t>
  </si>
  <si>
    <t>Value on Encryption Workbook</t>
  </si>
  <si>
    <t>Name = Encryption_Lookup</t>
  </si>
  <si>
    <t>1. REQUEST MEDICARE ENROLLMENT DATA?</t>
  </si>
  <si>
    <t>2. START YEAR</t>
  </si>
  <si>
    <t>3. END YEAR</t>
  </si>
  <si>
    <t>1. REQUEST MEDICAID ENROLLMENT DATA?</t>
  </si>
  <si>
    <t>1. REQUEST MEDICARE PART A &amp; B CLAIMS DATA?</t>
  </si>
  <si>
    <t>1. REQUEST PART D MTM DATA?</t>
  </si>
  <si>
    <t>1. REQUEST MEDICAID CLAIMS DATA?</t>
  </si>
  <si>
    <t>About this Request Form</t>
  </si>
  <si>
    <t>Each file category also has two types of form fields:</t>
  </si>
  <si>
    <t>Return to Table of Contents</t>
  </si>
  <si>
    <t>(If needed) Modify either file-level or variable-level specifications to fine-tune your data request.</t>
  </si>
  <si>
    <t>DE</t>
  </si>
  <si>
    <t>ACRONYM</t>
  </si>
  <si>
    <t>FULL TERM</t>
  </si>
  <si>
    <t>CC</t>
  </si>
  <si>
    <t>Chronic Conditions</t>
  </si>
  <si>
    <t>CHIP</t>
  </si>
  <si>
    <t>Children’s Health Insurance Program</t>
  </si>
  <si>
    <t>CMS</t>
  </si>
  <si>
    <t>Centers for Medicare &amp; Medicaid Services</t>
  </si>
  <si>
    <t>CY</t>
  </si>
  <si>
    <t>Calendar Year</t>
  </si>
  <si>
    <t>Demographics and Enrollment</t>
  </si>
  <si>
    <t>DM</t>
  </si>
  <si>
    <t>Durable Medical Equipment</t>
  </si>
  <si>
    <t>DN</t>
  </si>
  <si>
    <t>Denominator</t>
  </si>
  <si>
    <t>HH</t>
  </si>
  <si>
    <t>Home Health</t>
  </si>
  <si>
    <t>HS</t>
  </si>
  <si>
    <t>Hospice</t>
  </si>
  <si>
    <t>IP</t>
  </si>
  <si>
    <t>Inpatient</t>
  </si>
  <si>
    <t>LT</t>
  </si>
  <si>
    <t>Long-Term Care</t>
  </si>
  <si>
    <t>MAX</t>
  </si>
  <si>
    <t>Medicaid Analytic eXtract</t>
  </si>
  <si>
    <t>MBSF</t>
  </si>
  <si>
    <t>Master Beneficiary Summary File</t>
  </si>
  <si>
    <t>Long-Term Care Minimum Data Set</t>
  </si>
  <si>
    <t>MSIS</t>
  </si>
  <si>
    <t>Medicaid Statistical Information System</t>
  </si>
  <si>
    <t>MTM</t>
  </si>
  <si>
    <t>Medication Therapy Management</t>
  </si>
  <si>
    <t>OASIS</t>
  </si>
  <si>
    <t>Home Health Outcome and Assessment Information Set</t>
  </si>
  <si>
    <t>OP</t>
  </si>
  <si>
    <t>Outpatient</t>
  </si>
  <si>
    <t>OT</t>
  </si>
  <si>
    <t>Other Services</t>
  </si>
  <si>
    <t>PB</t>
  </si>
  <si>
    <t>Carrier</t>
  </si>
  <si>
    <t>PDE</t>
  </si>
  <si>
    <t>Prescription Drug Event</t>
  </si>
  <si>
    <t>PS</t>
  </si>
  <si>
    <t>Personal Summary</t>
  </si>
  <si>
    <t>RX</t>
  </si>
  <si>
    <t>Prescription Drug</t>
  </si>
  <si>
    <t>RIF</t>
  </si>
  <si>
    <t>Research Identifiable Files</t>
  </si>
  <si>
    <t>SN</t>
  </si>
  <si>
    <t>Skilled Nursing Facility</t>
  </si>
  <si>
    <t>TAF</t>
  </si>
  <si>
    <t>T-MSIS Analytic File</t>
  </si>
  <si>
    <t>T-MSIS</t>
  </si>
  <si>
    <t>Transformed Medicaid Statistical Information System</t>
  </si>
  <si>
    <t>TERM</t>
  </si>
  <si>
    <t>MDS_Request, OASIS_Request</t>
  </si>
  <si>
    <t>Data Version</t>
  </si>
  <si>
    <t>The version of the CMS data type, when CMS has more than one version.</t>
  </si>
  <si>
    <t>File-Level_Request</t>
  </si>
  <si>
    <t>File Description</t>
  </si>
  <si>
    <t>A brief summary of file contents.</t>
  </si>
  <si>
    <t>File Name</t>
  </si>
  <si>
    <t>The name of the CMS data file.</t>
  </si>
  <si>
    <t>Research Category</t>
  </si>
  <si>
    <t>IRFPAI_Request, MDS_Request, PDE_Request, OASIS_Request</t>
  </si>
  <si>
    <t>Variable Description</t>
  </si>
  <si>
    <t>The definition of the variable.</t>
  </si>
  <si>
    <t>Variable Label</t>
  </si>
  <si>
    <t>The human-readable version of the variable name.</t>
  </si>
  <si>
    <t>Variable Name/Alias</t>
  </si>
  <si>
    <t>The variable name.</t>
  </si>
  <si>
    <t>Variable Type</t>
  </si>
  <si>
    <t>File-Level_Request, IRFPAI_Request, MDS_Request, PDE_Request, OASIS_Request</t>
  </si>
  <si>
    <t>Year(s) Available</t>
  </si>
  <si>
    <t>The years available for a given data type.</t>
  </si>
  <si>
    <t>About Request Form</t>
  </si>
  <si>
    <t>Project Talent (PT)</t>
  </si>
  <si>
    <t xml:space="preserve">Review the auto-populated file selections and years, and delete the X selection if you do not need a specific data file within a category. </t>
  </si>
  <si>
    <t>Enter Start Year</t>
  </si>
  <si>
    <t>Enter End Year</t>
  </si>
  <si>
    <t>Start Year</t>
  </si>
  <si>
    <t>End Year</t>
  </si>
  <si>
    <t>Data Type</t>
  </si>
  <si>
    <t>Category</t>
  </si>
  <si>
    <t>Assessment</t>
  </si>
  <si>
    <t>Acronyms</t>
  </si>
  <si>
    <t>Study-Name</t>
  </si>
  <si>
    <t>Function</t>
  </si>
  <si>
    <t>Name</t>
  </si>
  <si>
    <t>Description</t>
  </si>
  <si>
    <t>Study-Name Data Type</t>
  </si>
  <si>
    <t>Column D-F</t>
  </si>
  <si>
    <t>Study_Data_Year_Lookup</t>
  </si>
  <si>
    <t>Value</t>
  </si>
  <si>
    <t>StudyName</t>
  </si>
  <si>
    <t>Display current selected study Name</t>
  </si>
  <si>
    <t>display what is the current selected study name</t>
  </si>
  <si>
    <t>Min</t>
  </si>
  <si>
    <t>Max</t>
  </si>
  <si>
    <t>DN_Max_Year</t>
  </si>
  <si>
    <t>DN_Min_Year</t>
  </si>
  <si>
    <t>Data Year Range Validation:</t>
  </si>
  <si>
    <t>For minimum and maximum data range valuation</t>
  </si>
  <si>
    <t>Formula Name</t>
  </si>
  <si>
    <t>MBSF_Base_Min_Year</t>
  </si>
  <si>
    <t>MBSF_Base_Max_Year</t>
  </si>
  <si>
    <t>MAX_PS_Min_Year</t>
  </si>
  <si>
    <t>Medicare Carrier (PB) Claims</t>
  </si>
  <si>
    <t>Medicare Durable Medical Equipment (DM) Claims</t>
  </si>
  <si>
    <t>Medicare Home Health (HH) Claims</t>
  </si>
  <si>
    <t>Medicare Hospice (HS) Claims</t>
  </si>
  <si>
    <t>Medicare Inpatient (IP) Claims</t>
  </si>
  <si>
    <t>Medicare Outpatient (OP) Claims</t>
  </si>
  <si>
    <t>Medicare Skilled Nursing Facility (SN) Claims</t>
  </si>
  <si>
    <t>AB_PB_Min_Year</t>
  </si>
  <si>
    <t>AB_HS_Min_Year</t>
  </si>
  <si>
    <t>AB_IP_Min_Year</t>
  </si>
  <si>
    <t>AB_OP_Min_Year</t>
  </si>
  <si>
    <t>AB_DM_Min_Year</t>
  </si>
  <si>
    <t>AB_HH_Min_Year</t>
  </si>
  <si>
    <t>AB_SN_Min_Year</t>
  </si>
  <si>
    <t>MedPAR_Min_Year</t>
  </si>
  <si>
    <t>MAX_IP_Min_Year</t>
  </si>
  <si>
    <t>MAX_LT_Min_Year</t>
  </si>
  <si>
    <t>MAX_OT_Min_Year</t>
  </si>
  <si>
    <t>MAX_RX_Min_Year</t>
  </si>
  <si>
    <t>IRF_PAI_Min_Year</t>
  </si>
  <si>
    <t>MDS_Min_Year</t>
  </si>
  <si>
    <t>OASIS_Min_Year</t>
  </si>
  <si>
    <t>MTM_Min_Year</t>
  </si>
  <si>
    <t>PDE_Min_Year</t>
  </si>
  <si>
    <t>MAX_PS_Max_Year</t>
  </si>
  <si>
    <t>AB_PB_Max_Year</t>
  </si>
  <si>
    <t>AB_DM_Max_Year</t>
  </si>
  <si>
    <t>AB_HH_Max_Year</t>
  </si>
  <si>
    <t>AB_HS_Max_Year</t>
  </si>
  <si>
    <t>AB_IP_Max_Year</t>
  </si>
  <si>
    <t>AB_OP_Max_Year</t>
  </si>
  <si>
    <t>AB_SN_Max_Year</t>
  </si>
  <si>
    <t>MedPAR_Max_Year</t>
  </si>
  <si>
    <t>MTM_Max_Year</t>
  </si>
  <si>
    <t>MAX_IP_Max_Year</t>
  </si>
  <si>
    <t>MAX_LT_Max_Year</t>
  </si>
  <si>
    <t>MAX_OT_Max_Year</t>
  </si>
  <si>
    <t>MAX_RX_Max_Year</t>
  </si>
  <si>
    <t>PDE_Max_Year</t>
  </si>
  <si>
    <t>IRF_PAI_Max_Year</t>
  </si>
  <si>
    <t>MDS_Max_Year</t>
  </si>
  <si>
    <t>OASIS_Max_Year</t>
  </si>
  <si>
    <t>Medicare_Enrollment_Data_Min_Year</t>
  </si>
  <si>
    <t>Medicare_Enrollment_Data_Max_Year</t>
  </si>
  <si>
    <t>Update the following table only when study partner approves new year of data or new data type</t>
  </si>
  <si>
    <t>Medicaid_Enrollment_Data_Min_Year</t>
  </si>
  <si>
    <t>Medicaid_Claims_Data_Min_Year</t>
  </si>
  <si>
    <t>Medicaid_Claims_Data_Max_Year</t>
  </si>
  <si>
    <t>Medicaid_Enrollment_Data_Max_Year</t>
  </si>
  <si>
    <t>Medicare_Claims_Data_Min_Year</t>
  </si>
  <si>
    <t>Medicare_Claims_Data_Max_Year</t>
  </si>
  <si>
    <t>Select a Response</t>
  </si>
  <si>
    <t>This worksheet contains lookup information for the App B Encryption Levels</t>
  </si>
  <si>
    <t>Get a description of each file or set of files referenced in this Form.</t>
  </si>
  <si>
    <t>Review full terms for acronyms referenced in this Form.</t>
  </si>
  <si>
    <t>Get definitions for terms used in this Form.</t>
  </si>
  <si>
    <t>Form Instructions</t>
  </si>
  <si>
    <t>DATA FILE(S)/VARIABLE CATEGORY(IES) AVAILABLE</t>
  </si>
  <si>
    <t>YEAR(S) REQUESTED</t>
  </si>
  <si>
    <t>TAB(S)</t>
  </si>
  <si>
    <t>Within each category, the tab specifies the File Name, Description, and Years Available.</t>
  </si>
  <si>
    <t>The tab will automatically populate your selections for all files in a given category.</t>
  </si>
  <si>
    <t>The tab will automatically populate the data versions for all files in a given category, provided that you have completed Steps 1, 2, and 3 in order.</t>
  </si>
  <si>
    <t>The tab will automatically populate your justification in all data files for a given category.</t>
  </si>
  <si>
    <t>In terms of structure and layout, the File-Level_Request tab groups file types into the following seven categories of files (specified in tab order):</t>
  </si>
  <si>
    <t>Use this tab to verify your data selections and identify any adjustments you need to make.</t>
  </si>
  <si>
    <t>The Appendix A: File Description tab contains descriptions of each major CMS data type.</t>
  </si>
  <si>
    <t>Use this tab to understand, at a high-level, the contents of each major CMS data type.</t>
  </si>
  <si>
    <t>Contains guidance for completing the request tabs.</t>
  </si>
  <si>
    <t>About the File-Level Request Tab</t>
  </si>
  <si>
    <t>About the Summary Tab</t>
  </si>
  <si>
    <t>About the App_A_File_Desc Tab</t>
  </si>
  <si>
    <t>File-Level Request Sub-Form</t>
  </si>
  <si>
    <t>To complete this sub-form:</t>
  </si>
  <si>
    <t>New Use Request Sub-Form Section</t>
  </si>
  <si>
    <t>Update Request Sub-Form Section</t>
  </si>
  <si>
    <t>Complete the "New Use Request Sub-Form Section" below; or</t>
  </si>
  <si>
    <t>Sub-Form</t>
  </si>
  <si>
    <t>Introduction</t>
  </si>
  <si>
    <t>Form</t>
  </si>
  <si>
    <t>This entire file, including all introductory, sub-form, and appendix tabs.</t>
  </si>
  <si>
    <t>ALL</t>
  </si>
  <si>
    <t>Tab</t>
  </si>
  <si>
    <t>An Excel worksheet within this Excel file.</t>
  </si>
  <si>
    <t>A tab in this Excel file with a set of related form fields.</t>
  </si>
  <si>
    <t>SAS</t>
  </si>
  <si>
    <t>STATA</t>
  </si>
  <si>
    <t>R</t>
  </si>
  <si>
    <t>Revision Log</t>
  </si>
  <si>
    <t>DATE</t>
  </si>
  <si>
    <t>WORKSHEET TAB(S)</t>
  </si>
  <si>
    <t>REVISION SUMMARY</t>
  </si>
  <si>
    <t>Revision_Log</t>
  </si>
  <si>
    <t>About_Request_Form</t>
  </si>
  <si>
    <t>Specifies revisions to this Form over time.</t>
  </si>
  <si>
    <t>CUSTODIAN INFORMATION FROM NIA DUA [Person who signed DUA Section No.11]</t>
  </si>
  <si>
    <t>RESEARCH PROJECTS ONLY</t>
  </si>
  <si>
    <t>The tab contains these two types of form fields to help you standardize your justifications for related and/or overlapping data files while still enabling you to modify the specific data files and data file years needed for your research project.</t>
  </si>
  <si>
    <t>Research Project Information Sub-Form</t>
  </si>
  <si>
    <t>RESEARCH PROJECT INFORMATION</t>
  </si>
  <si>
    <t>RESEARCH PROJECT TITLE</t>
  </si>
  <si>
    <t>About the CMS File-Level_Request Tab</t>
  </si>
  <si>
    <t xml:space="preserve">The CMS File-Level Request tab contains a form for requesting all Centers for Medicare &amp; Medicaid Services (CMS) data files that do NOT require justifications at the variable category level. </t>
  </si>
  <si>
    <t>The IRF-PAI file contains physical and cognitive assessments of NIA study participants conducted at an inpatient rehabilitation facility, which is a hospital or acute care unit that provides rehabilitation programs. The information includes admission dates, beneficiary demographics, cognitive health status, diagnosis codes, physical evaluations, plan enrollment, processing codes, and provider characteristics.</t>
  </si>
  <si>
    <t>Research_Project_Info</t>
  </si>
  <si>
    <t>About the Research_Project_Info Tab</t>
  </si>
  <si>
    <t>Research_Project_Info, File-Level Request, IRFPAI_Request, MDS_Request, PDE_Request, OASIS_Request</t>
  </si>
  <si>
    <t>In this Research Project Info tab, select a NIA Study Institute partner to access availability information.</t>
  </si>
  <si>
    <t>Form Pre-Requisites</t>
  </si>
  <si>
    <t>Target Users</t>
  </si>
  <si>
    <t>App_C_ResDAC_Forms_Comparison</t>
  </si>
  <si>
    <t>RESEARCH PROJECT INFO TAB COMPLETION STATUS</t>
  </si>
  <si>
    <t>Research Project Info</t>
  </si>
  <si>
    <t>App A File Description</t>
  </si>
  <si>
    <t>Understanding America Study (UAS)</t>
  </si>
  <si>
    <t>Midlife in the United States (MIDUS)</t>
  </si>
  <si>
    <t>The MBSF Chronic Conditions file contains information on the presence of one of twenty-seven chronic conditions (e.g., asthma, depression) among Medicare beneficiaries. For more information, refer to the Chronic Conditions Data Warehouse (CCW)’s full list of chronic conditions categories.</t>
  </si>
  <si>
    <t>The MBSF Cost and Utilization file contains information on the utilization of, and annual payments for, services rendered to Medicare beneficiaries.</t>
  </si>
  <si>
    <t>The MBSF Other Chronic or Potentially Disabling Conditions contains information on the presence of one of forty other chronic or potentially disabling conditions (e.g., epilepsy and  schizophrenia) among Medicare beneficiaries. For more information, refer to the CCW’s full list of other chronic or potentially disabling conditions.</t>
  </si>
  <si>
    <t>The Medicaid and CHIP TAF (T-MSIS Analytic File) Demographic and Eligibility (DE) file contains one record for every individual eligible for and enrolled in Medicaid or CHIP for at least one day during the file calendar year.</t>
  </si>
  <si>
    <t>The Carrier Encounter file contains health services information (e.g., dates of service, diagnoses codes, and procedure codes) from professional providers (e.g. physicians and nurse practitioners) relative to MA plan paid records for Medicare beneficiaries.</t>
  </si>
  <si>
    <t xml:space="preserve">The DME Encounter file contains health services information on medical supplies (e.g., prosthetic device, ventilator, and wheelchair) relative to MA plan paid records to Medicare beneficiaries. </t>
  </si>
  <si>
    <t>The HH Encounter file contains health services information (e.g., diagnoses codes, discharge status, and service costs) from home health agency services relative to MA plan paid records for Medicare beneficiaries.</t>
  </si>
  <si>
    <t>The IP Encounter file contains health services information (e.g., diagnose codes, drug codes, and procedure codes) from inpatient hospital stays relative to Medicare Advantage Plans (MA) paid records for Medicare beneficiaries.</t>
  </si>
  <si>
    <t>The OP Encounter file contains health services information (e.g., beneficiary demographics, procedure codes, and processing codes) from outpatient providers (e.g., rural health clinics and community mental health centers) relative to MA plan paid records for Medicare beneficiaries.</t>
  </si>
  <si>
    <t xml:space="preserve">The SNF Encounter file contains health services information (e.g., diagnoses codes, facility type, and processing codes) from skilled nursing facility stays relative to MA plan paid records for Medicare beneficiaries. </t>
  </si>
  <si>
    <t>The TAF IP file contains health services information (e.g., provider characteristics, service costs, and service dates) from overnight inpatient hospital stays for Medicaid beneficiaries.</t>
  </si>
  <si>
    <t>The TAF LT file contains health services information (e.g., facility type, dates of service, and discharge status) from institutional long term care facilities (e.g., nursing facility services) for Medicaid beneficiaries.</t>
  </si>
  <si>
    <t>The TAF OT file contains health services information (e.g., physician services, clinic services, and home health services) for Medicaid beneficiaries.</t>
  </si>
  <si>
    <t xml:space="preserve">The TAF RX file contains information on Medicaid beneficiaries’ prescribed drugs and drug fills, when a Medicaid managed care organization pays for the drug. </t>
  </si>
  <si>
    <t>MBSF_CC_Min_Year</t>
  </si>
  <si>
    <t>MBSF_CC_Max_Year</t>
  </si>
  <si>
    <t>MBSF_CU_Min_Year</t>
  </si>
  <si>
    <t>MBSF_CU_Max_Year</t>
  </si>
  <si>
    <t>MBSF_Other_Min_Year</t>
  </si>
  <si>
    <t>MBSF_Other_Max_Year</t>
  </si>
  <si>
    <t>TMSIS_DE_Min_Year</t>
  </si>
  <si>
    <t>TMSIS_DE_Max_Year</t>
  </si>
  <si>
    <t>C_DME_Min_Year</t>
  </si>
  <si>
    <t>C_DME_Max_Year</t>
  </si>
  <si>
    <t>C_HH_Min_Year</t>
  </si>
  <si>
    <t>C_HH_Max_Year</t>
  </si>
  <si>
    <t>C_IP_Min_Year</t>
  </si>
  <si>
    <t>C_IP_Max_Year</t>
  </si>
  <si>
    <t>C_OP_Min_Year</t>
  </si>
  <si>
    <t>C_OP_Max_Year</t>
  </si>
  <si>
    <t>C_SNF_Min_Year</t>
  </si>
  <si>
    <t>C_SNF_Max_Year</t>
  </si>
  <si>
    <t>C_Carrier_Min_Year</t>
  </si>
  <si>
    <t>C_Carrier_Max_Year</t>
  </si>
  <si>
    <t>TMSIS_IP_Min_Year</t>
  </si>
  <si>
    <t>TMSIS_IP_Max_Year</t>
  </si>
  <si>
    <t>TMSIS_LT_Min_Year</t>
  </si>
  <si>
    <t>TMSIS_LT_Max_Year</t>
  </si>
  <si>
    <t>TMSIS_OT_Min_Year</t>
  </si>
  <si>
    <t>TMSIS_OT_Max_Year</t>
  </si>
  <si>
    <t>TMSIS_RX_Min_Year</t>
  </si>
  <si>
    <t>TMSIS_RX_Max_Year</t>
  </si>
  <si>
    <t>Additional Medicare Summary Files</t>
  </si>
  <si>
    <t>Additional_Medicare_Summary_Files_Min_Year</t>
  </si>
  <si>
    <t>Additional_Medicare_Summary_Files_Max_Year</t>
  </si>
  <si>
    <t>Part_C_Claims_Data_Min_Year</t>
  </si>
  <si>
    <t>Part_C_Claims_Data_Max_Year</t>
  </si>
  <si>
    <t>Aggregated to Year</t>
  </si>
  <si>
    <t>Aggregated to Month</t>
  </si>
  <si>
    <t>Medicare Summary Files</t>
  </si>
  <si>
    <t>Part C Claims Data</t>
  </si>
  <si>
    <t xml:space="preserve">Part C Claims Data </t>
  </si>
  <si>
    <t>Transformed Medicaid Statistical Information System (TMSIS) Analytic Files (TAF)</t>
  </si>
  <si>
    <t xml:space="preserve">The IRF-PAI file contains physical and cognitive assessments of beneficiaries conducted at an inpatient rehabilitation facility, which is a hospital or acute care unit that provides rehabilitation programs. The information includes admission dates, beneficiary demographics, cognitive health status, diagnosis codes, physical evaluations, plan enrollment, processing codes, and provider characteristics. </t>
  </si>
  <si>
    <t>Long-Term Care Minimum Data Set (MDS)</t>
  </si>
  <si>
    <t>Long Term Care Minimum Data Set (MDS)</t>
  </si>
  <si>
    <t>Specify critical information on your research project, including the NIA-funded study partner’s cohort whose CMS data you're requesting.</t>
  </si>
  <si>
    <t>Request Medicare and Medicaid data files from the NIA-funded study's CMS data inventory.</t>
  </si>
  <si>
    <t>NIA-funded study PARTNER: SELECTION &amp; DATA AUTHORIZATION</t>
  </si>
  <si>
    <t>NIA-funded study PARTNER: DATA AUTHORIZATION # (OPTIONAL) Enter any data authorization number from the study partner.</t>
  </si>
  <si>
    <t>Appendix B NIA-Funded Study Partner's Data Versions Matrix</t>
  </si>
  <si>
    <t>Long-Term Care Minimum Data Set (MDS) files contain data from "a health status screening and assessment tool used for all residents of long term care nursing facilities certified to participate in Medicare or Medicaid, regardless of payer. The assessment is also required for Medicare payment of skilled nursing facility stays" (ResDAC).</t>
  </si>
  <si>
    <t>Home Health Outcome and Assessment Information Set (OASIS) files "[contain] data items developed to measure patient outcomes and for improve home health care. The OASIS assessments are required of all home health agencies certified to accept Medicare and Medicaid payments" (ResDAC).</t>
  </si>
  <si>
    <t>If you need Medicare enrollment data for your research project, complete form fields in numerical order (1, 2, 3, 4, and 5), as not doing so will break the tab's auto-populated formulas. Then, review the auto-populated content and edit if needed.</t>
  </si>
  <si>
    <t xml:space="preserve">Medicare Part C Claims Data 
</t>
  </si>
  <si>
    <t>Medicare Part D Drug Data</t>
  </si>
  <si>
    <t>Assessment Data: Inpatient Rehabilitation Facility-Patient Assessment Instrument (IRF-PAI)</t>
  </si>
  <si>
    <t>Assessment Data: Long-Term Care Minimum Data Set (MDS)</t>
  </si>
  <si>
    <t>Assessment Data: Home Health Outcome and Assessment Information Set (OASIS)</t>
  </si>
  <si>
    <t>If you need Additional Medicare enrollment data for your research project, complete form fields in numerical order (1, 2, 3, 4, and 5), as not doing so will break the tab's auto-populated formulas. Then, review the auto-populated content and edit if needed.</t>
  </si>
  <si>
    <t>If you need Medicaid enrollment data for your research project, complete form fields in numerical order (1, 2, 3, 4, and 5), as not doing so will break the tab's auto-populated formulas. Then, review the auto-populated content and edit if needed.</t>
  </si>
  <si>
    <t>If you need Medicare Parts A &amp; B claims data for your research project, complete form fields in numerical order (1, 2, 3, 4, and 5), as not doing so will break the tab's auto-populated formulas. Then, review the auto-populated content and edit if needed.</t>
  </si>
  <si>
    <t>If you need Medicare Part C (Medicare Advantage) data for your research project, complete form fields in numerical order (1, 2, 3, 4, and 5), as not doing so will break the tab's auto-populated formulas. Then, review the auto-populated content and edit if needed.</t>
  </si>
  <si>
    <t>If you need Medicare Part D MTM data for your research project, complete form fields in numerical order (1, 2, 3, 4, and 5), as not doing so will break the tab's auto-populated formulas. Then, review the auto-populated content and edit if needed.</t>
  </si>
  <si>
    <t>If you need Medicaid Claims data for your research project, complete form fields in numerical order (1, 2, 3, 4, and 5), as not doing so will break the tab's auto-populated formulas. Then, review the auto-populated content and edit if needed.</t>
  </si>
  <si>
    <t>If you need IRF-PAI data for your research project, complete form fields in numerical order (1, 2, 3, 4, and 5), as not doing so will break the tab's auto-populated formulas. Then, review the auto-populated content and edit if needed.</t>
  </si>
  <si>
    <t>If you need MDS data for your research project, complete form fields in numerical order (1, 2, 3, 4, and 5), as not doing so will break the tab's auto-populated formulas. Then, review the auto-populated content and edit if needed.</t>
  </si>
  <si>
    <t>If you need OASIS data for your research project, complete form fields in numerical order (1, 2, 3, 4, and 5), as not doing so will break the tab's auto-populated formulas. Then, review the auto-populated content and edit if needed.</t>
  </si>
  <si>
    <t>Appendix D Glossary</t>
  </si>
  <si>
    <t>Appendix C Acronyms</t>
  </si>
  <si>
    <t>App C Acronyms</t>
  </si>
  <si>
    <t>App D Glossary</t>
  </si>
  <si>
    <t>About the App_C_Acronyms Tab</t>
  </si>
  <si>
    <t>About the App_D_Glossary Tab</t>
  </si>
  <si>
    <t>About the App_C_Acronyms</t>
  </si>
  <si>
    <t>The Appendix C: Acronyms contains full terms for acronyms referenced in this Form.</t>
  </si>
  <si>
    <t>The Appendix D: Glossary tab contains definitions of key terms in this Form.</t>
  </si>
  <si>
    <t>Study Not Listed Above (Non-Data-Sharing Partner Requeting Linked-CMS data for researcher purpose)</t>
  </si>
  <si>
    <t>Other</t>
  </si>
  <si>
    <t>HEDIS</t>
  </si>
  <si>
    <t>HEDIS_Min_Year</t>
  </si>
  <si>
    <t>HEDIS_Max_Year</t>
  </si>
  <si>
    <t>Healthcare Effectiveness Data and Information Set</t>
  </si>
  <si>
    <t>TBD</t>
  </si>
  <si>
    <t>(650) 558-8310 | support@linkagesupport.zendesk.com</t>
  </si>
  <si>
    <t>©2023 LINKAGE</t>
  </si>
  <si>
    <t>WARNING: If you inadvertently delete a file selection and justification, you will break the tab's formulas. To correct this issue, either click Excel's Undo function (if you have not saved) or drag the cell above or below the current cell to that cell.</t>
  </si>
  <si>
    <t>The table below lists terms used in the LINKAGE Data Request Form and provides definitions for them.</t>
  </si>
  <si>
    <t>The LINKAGE-defined category for the variable, which consists of Beneficiary, Characteristics, Coverage, Pharmacy, Plan, Plan/Contract, Prescriber, Prescription Attributes, Processing, Third Party, and Total.</t>
  </si>
  <si>
    <t>The LINKAGE-defined indicator of whether the variable is an amount, code, date, or identifier.</t>
  </si>
  <si>
    <t>Review critical background information on the LINKAGE Data Request Form.</t>
  </si>
  <si>
    <t>Learn about the three masking levels for LINKAGE-produced CMS data.</t>
  </si>
  <si>
    <t xml:space="preserve">NOTE: LINKAGE's data file has a LINKAGE-created, random, and unique identification number for each Centers for Medicare &amp; Medicaid Services (CMS) beneficiary. As such, you will be able to link all data files you receive to other LINKAGE-provided files. </t>
  </si>
  <si>
    <t>LINKAGE-Built Medicare Provider Analysis &amp; Review (MedPAR)</t>
  </si>
  <si>
    <t>LINKAGE offers two type of Medicaid claims and enrollment data: Medicaid Analytic eXtract (MAX) and Transformed Medicaid Statistical Information System (TMSIS). Each type has five data files, as defined below.</t>
  </si>
  <si>
    <t>The table below contains a high-level description of each type or set of files that LINKAGE offers.</t>
  </si>
  <si>
    <t>LINKAGE offers the following eight Parts A &amp; B files: 
1. Carrier (PB), The Medicare PB file contains health services information (e.g., dates of service, diagnoses codes, procedure codes) from professional non-institutional providers (e.g., individual/group practitioners, non-hospital labs, or physicians) for Medicare beneficiaries.
2. Durable Medical Equipment (DME), The Medicare DME file contains health services information on items (e.g., prosthetic device, ventilator, or wheelchair) that are medically necessary and doctor-prescribed to Medicare beneficiaries. DME suppliers submit these claims.
3. Home Health (HH), The Medicare HH file contains health services information (e.g., diagnoses codes, discharge status, service costs) from agencies that provide home healthcare services (e.g., skilled care, home health aide, or physical therapy) to Medicare beneficiaries.
4. Hospice (HS), The Medicare HS file contains health services information (e.g., procedure codes, provider characteristics, service costs) from healthcare providers or facilities that offer care to terminally ill Medicare beneficiaries.
5. Inpatient (IP), The Medicare IP file contains health services information (e.g., diagnose codes, drug codes, and procedure codes) from overnight inpatient hospital stays for Medicare beneficiaries.
6. Medicare Provider Analysis and Review (MedPAR), The MedPAR file contains health service information (e.g., eligibility status, processing codes, or service costs,) from two Part A settings–Inpatient (IP) and Skilled Nursing Facility (SNF)– organized into stays, where 'stay' refers to the time between a beneficiary's admission to an IP or SNF facility and the beneficiary's discharge from the facility.
7. Outpatient (OP), The Medicare OP file contains health services information (e.g., beneficiary demographics, procedure codes, processing codes) from institutional outpatient providers (e.g., outpatient rehabilitation facilities and renal dialysis facilities) for Medicare beneficiaries.
8. Skilled Nursing Facility (SNF), The Medicare SNF file contains health services information (e.g., diagnoses codes, facility type, processing codes) from facilities that provide skilled nursing and therapy care to Medicare beneficiaries.</t>
  </si>
  <si>
    <t>The table below lists acronyms used in the LINKAGE Data Request Form and provides full terms for them.</t>
  </si>
  <si>
    <t>POINT OF CONTACT (POC) INFORMATION [Person Responsible for Data Acquisition Questions and/or Tasks]</t>
  </si>
  <si>
    <r>
      <t>This tab contains revisions made to thi</t>
    </r>
    <r>
      <rPr>
        <sz val="12"/>
        <color rgb="FF262626"/>
        <rFont val="Segoe UI"/>
        <family val="2"/>
      </rPr>
      <t>s Request Form</t>
    </r>
    <r>
      <rPr>
        <sz val="12"/>
        <color theme="1" tint="0.14993743705557422"/>
        <rFont val="Segoe UI"/>
        <family val="2"/>
      </rPr>
      <t>, specifying the date of the revision(s), the affected worksheet tab(s), and a summary of all revision</t>
    </r>
    <r>
      <rPr>
        <sz val="12"/>
        <color theme="1" tint="0.14999847407452621"/>
        <rFont val="Segoe UI"/>
        <family val="2"/>
      </rPr>
      <t>s</t>
    </r>
    <r>
      <rPr>
        <sz val="12"/>
        <color theme="1" tint="0.14993743705557422"/>
        <rFont val="Segoe UI"/>
        <family val="2"/>
      </rPr>
      <t xml:space="preserve"> made.</t>
    </r>
  </si>
  <si>
    <r>
      <t xml:space="preserve">REQUESTER FULL NAME
</t>
    </r>
    <r>
      <rPr>
        <i/>
        <sz val="11"/>
        <color rgb="FF262626"/>
        <rFont val="Segoe UI"/>
        <family val="2"/>
      </rPr>
      <t>Enter first name then last.</t>
    </r>
  </si>
  <si>
    <r>
      <t xml:space="preserve">REQUESTER AFFILIATED INSTITUTION/ORGANIZATION
</t>
    </r>
    <r>
      <rPr>
        <i/>
        <sz val="11"/>
        <rFont val="Segoe UI"/>
        <family val="2"/>
      </rPr>
      <t>Enter the name of the requester's affiliated institution or organization.</t>
    </r>
  </si>
  <si>
    <r>
      <t xml:space="preserve">ADDITIONAL YEARS OF CMS DATA NEEDED IN THE FUTURE
</t>
    </r>
    <r>
      <rPr>
        <i/>
        <sz val="11"/>
        <color rgb="FF262626"/>
        <rFont val="Segoe UI"/>
        <family val="2"/>
      </rPr>
      <t>Indicate whether you plan to add additional years of CMS data in the future.</t>
    </r>
  </si>
  <si>
    <r>
      <t xml:space="preserve">NON-CMS OR NON-IDENTIFIABLE FILES PLANNED FOR USE
</t>
    </r>
    <r>
      <rPr>
        <i/>
        <sz val="11"/>
        <color rgb="FF262626"/>
        <rFont val="Segoe UI"/>
        <family val="2"/>
      </rPr>
      <t>List any non-CMS or non-identifiable files you intend to use along with the CMS data files to support your data collection work.</t>
    </r>
  </si>
  <si>
    <r>
      <t xml:space="preserve">POC FULL NAME
</t>
    </r>
    <r>
      <rPr>
        <i/>
        <sz val="11"/>
        <color rgb="FF262626"/>
        <rFont val="Segoe UI"/>
        <family val="2"/>
      </rPr>
      <t>Enter first name then last.</t>
    </r>
  </si>
  <si>
    <r>
      <t xml:space="preserve">AFFILIATED INSTITUTION/ORGANIZATION
</t>
    </r>
    <r>
      <rPr>
        <i/>
        <sz val="11"/>
        <rFont val="Segoe UI"/>
        <family val="2"/>
      </rPr>
      <t>Enter the name of the POC's affiliated institution or organization.</t>
    </r>
  </si>
  <si>
    <r>
      <t xml:space="preserve">INSTITUTION/ORGANIZATION ADDRESS
</t>
    </r>
    <r>
      <rPr>
        <i/>
        <sz val="11"/>
        <color rgb="FF262626"/>
        <rFont val="Segoe UI"/>
        <family val="2"/>
      </rPr>
      <t>Enter street address, city, state, and ZIP code.</t>
    </r>
  </si>
  <si>
    <r>
      <t xml:space="preserve">PHONE NUMBER 
</t>
    </r>
    <r>
      <rPr>
        <i/>
        <sz val="11"/>
        <color rgb="FF262626"/>
        <rFont val="Segoe UI"/>
        <family val="2"/>
      </rPr>
      <t>Enter number without parentheses, dashes, or spaces.</t>
    </r>
  </si>
  <si>
    <r>
      <t xml:space="preserve">BUSINESS EMAIL </t>
    </r>
    <r>
      <rPr>
        <sz val="11"/>
        <color rgb="FF09597D"/>
        <rFont val="Segoe UI"/>
        <family val="2"/>
      </rPr>
      <t>[LIMIT: ONE EMAIL ADDRESS]</t>
    </r>
    <r>
      <rPr>
        <sz val="11"/>
        <color theme="1" tint="0.24994659260841701"/>
        <rFont val="Segoe UI"/>
        <family val="2"/>
      </rPr>
      <t xml:space="preserve">
</t>
    </r>
    <r>
      <rPr>
        <i/>
        <sz val="11"/>
        <color theme="1" tint="0.24994659260841701"/>
        <rFont val="Segoe UI"/>
        <family val="2"/>
      </rPr>
      <t>Enter username@hostname.domain.</t>
    </r>
  </si>
  <si>
    <r>
      <t xml:space="preserve">R
</t>
    </r>
    <r>
      <rPr>
        <i/>
        <sz val="11"/>
        <color theme="1" tint="0.24994659260841701"/>
        <rFont val="Segoe UI"/>
        <family val="2"/>
      </rPr>
      <t>If your team needs to use R to conduct your research project, select the R check box.</t>
    </r>
  </si>
  <si>
    <r>
      <t xml:space="preserve">NIA DUA NUMBER
</t>
    </r>
    <r>
      <rPr>
        <i/>
        <sz val="11"/>
        <rFont val="Segoe UI"/>
        <family val="2"/>
      </rPr>
      <t>Enter your existing NIA DUA number.</t>
    </r>
  </si>
  <si>
    <r>
      <t xml:space="preserve">CUSTODIAN FULL NAME
</t>
    </r>
    <r>
      <rPr>
        <i/>
        <sz val="11"/>
        <color rgb="FF262626"/>
        <rFont val="Segoe UI"/>
        <family val="2"/>
      </rPr>
      <t>Enter first name then last.</t>
    </r>
  </si>
  <si>
    <r>
      <t xml:space="preserve">AFFILIATED INSTITUTION/ORGANIZATION
</t>
    </r>
    <r>
      <rPr>
        <i/>
        <sz val="11"/>
        <rFont val="Segoe UI"/>
        <family val="2"/>
      </rPr>
      <t>Enter the name of the custodian's affiliated institution or organization.</t>
    </r>
  </si>
  <si>
    <r>
      <t xml:space="preserve">ADDRESS
</t>
    </r>
    <r>
      <rPr>
        <i/>
        <sz val="11"/>
        <color rgb="FF262626"/>
        <rFont val="Segoe UI"/>
        <family val="2"/>
      </rPr>
      <t>Enter street address, city, state, and ZIP code.</t>
    </r>
  </si>
  <si>
    <r>
      <rPr>
        <sz val="11"/>
        <color rgb="FF262626"/>
        <rFont val="Segoe UI"/>
        <family val="2"/>
      </rPr>
      <t xml:space="preserve">BUSINESS EMAIL </t>
    </r>
    <r>
      <rPr>
        <sz val="11"/>
        <color rgb="FF09597D"/>
        <rFont val="Segoe UI"/>
        <family val="2"/>
      </rPr>
      <t>[LIMIT: ONE EMAIL ADDRESS]</t>
    </r>
    <r>
      <rPr>
        <sz val="11"/>
        <color theme="1" tint="0.24994659260841701"/>
        <rFont val="Segoe UI"/>
        <family val="2"/>
      </rPr>
      <t xml:space="preserve">
</t>
    </r>
    <r>
      <rPr>
        <i/>
        <sz val="11"/>
        <color rgb="FF262626"/>
        <rFont val="Segoe UI"/>
        <family val="2"/>
      </rPr>
      <t>Enter username@hostname.domain.</t>
    </r>
  </si>
  <si>
    <r>
      <rPr>
        <b/>
        <sz val="11"/>
        <color theme="0"/>
        <rFont val="Segoe UI"/>
        <family val="2"/>
      </rPr>
      <t>5. REQUEST JUSTIFICATION FOR MEDICARE ENROLLMENT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</si>
  <si>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ADDITIONAL MEDICARE SUMMARY FILES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</si>
  <si>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MEDICAID ENROLLMENT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</si>
  <si>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MEDICARE PART A &amp; B CLAIMS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</si>
  <si>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PART C CLAIMS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</si>
  <si>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PART D MTM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</si>
  <si>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MEDICAID CLAIMS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</si>
  <si>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IRF-PAI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</si>
  <si>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MDS DATA (REQUIRED)</t>
    </r>
    <r>
      <rPr>
        <sz val="11"/>
        <color theme="0"/>
        <rFont val="Segoe UI"/>
        <family val="2"/>
      </rPr>
      <t xml:space="preserve">
Explain why you need the files requested and how the requested files meet the minimum data necessary for your research project.</t>
    </r>
  </si>
  <si>
    <r>
      <rPr>
        <b/>
        <sz val="11"/>
        <color theme="0"/>
        <rFont val="Segoe UI"/>
        <family val="2"/>
      </rPr>
      <t>5. REQUEST JUSTIFICATION FOR OASIS DATA (REQUIRED)</t>
    </r>
    <r>
      <rPr>
        <sz val="11"/>
        <color theme="0"/>
        <rFont val="Segoe UI"/>
        <family val="2"/>
      </rPr>
      <t xml:space="preserve">
Explain why you need the files requested and how the requested files meet the minimum data necessary for your research project.</t>
    </r>
  </si>
  <si>
    <r>
      <rPr>
        <sz val="12"/>
        <color rgb="FF09597D"/>
        <rFont val="Segoe UI"/>
        <family val="2"/>
      </rPr>
      <t>Medicare Enrollment Data</t>
    </r>
    <r>
      <rPr>
        <sz val="12"/>
        <color theme="1" tint="0.14996795556505021"/>
        <rFont val="Segoe UI"/>
        <family val="2"/>
      </rPr>
      <t>, which includes Denominator (DN) and Master Beneficiary Summary File (MBSF) - Base Segment data.</t>
    </r>
  </si>
  <si>
    <r>
      <rPr>
        <sz val="12"/>
        <color rgb="FF09597D"/>
        <rFont val="Segoe UI"/>
        <family val="2"/>
      </rPr>
      <t>Additional Medicare Summary Files</t>
    </r>
    <r>
      <rPr>
        <sz val="12"/>
        <color theme="1" tint="0.14996795556505021"/>
        <rFont val="Segoe UI"/>
        <family val="2"/>
      </rPr>
      <t>, which includes MBSF: Chronic Conditions, Cost &amp; Utilization, and Other Chronic or Potentially Disabling Conditions data.</t>
    </r>
  </si>
  <si>
    <r>
      <rPr>
        <sz val="12"/>
        <color rgb="FF09597D"/>
        <rFont val="Segoe UI"/>
        <family val="2"/>
      </rPr>
      <t>Medicaid Enrollment Data</t>
    </r>
    <r>
      <rPr>
        <sz val="12"/>
        <color theme="1" tint="0.14996795556505021"/>
        <rFont val="Segoe UI"/>
        <family val="2"/>
      </rPr>
      <t>, which includes Medicaid Analytic eXtract (MAX) Personal Summary (PS) and TMSIS Analytic Files (TAF) Demographic and Eligibility (DE) data.</t>
    </r>
  </si>
  <si>
    <r>
      <rPr>
        <sz val="12"/>
        <color rgb="FF09597D"/>
        <rFont val="Segoe UI"/>
        <family val="2"/>
      </rPr>
      <t>Parts A &amp; B Data</t>
    </r>
    <r>
      <rPr>
        <sz val="12"/>
        <color theme="1" tint="0.14996795556505021"/>
        <rFont val="Segoe UI"/>
        <family val="2"/>
      </rPr>
      <t xml:space="preserve">, which includes Medicare Carrier (PB) claims, Medicare Durable Medical Equipment (DM) claims, Medicare Home Health (HH) claims, Medicare Hospice (HS) claims, Medicare Inpatient (IP) claims, Medicare Outpatient (OP) claims, Medicare Skilled Nursing Facility (SN) claims, and LINKAGE-Built Medicare Provider Analysis &amp; Review (MedPAR) data. </t>
    </r>
  </si>
  <si>
    <r>
      <rPr>
        <sz val="12"/>
        <color rgb="FF09597D"/>
        <rFont val="Segoe UI"/>
        <family val="2"/>
      </rPr>
      <t>Part C Data</t>
    </r>
    <r>
      <rPr>
        <sz val="12"/>
        <color theme="1" tint="0.14996795556505021"/>
        <rFont val="Segoe UI"/>
        <family val="2"/>
      </rPr>
      <t>, which includes Medicare PB Encounter claims, Medicare DM Encounter claims, Medicare HH Encounter claims, Medicare IP Encounter claims, Medicare OP Encounter claims, and Medicare SN Encounter claims.</t>
    </r>
  </si>
  <si>
    <r>
      <rPr>
        <sz val="12"/>
        <color rgb="FF09597D"/>
        <rFont val="Segoe UI"/>
        <family val="2"/>
      </rPr>
      <t>Medicaid Data</t>
    </r>
    <r>
      <rPr>
        <sz val="12"/>
        <color theme="1" tint="0.14996795556505021"/>
        <rFont val="Segoe UI"/>
        <family val="2"/>
      </rPr>
      <t>, which includes MAX IP claims, MAX Long Term Care (LT) claims, MAX Other Services (OT) claims, MAX Prescription Drug (RX) data, TMSIS Analytic Files (TAF) IP claims, TAF LT claims, TAF OT claims, and TAF RX data.</t>
    </r>
  </si>
  <si>
    <r>
      <rPr>
        <sz val="12"/>
        <color rgb="FF09597D"/>
        <rFont val="Segoe UI"/>
        <family val="2"/>
      </rPr>
      <t>Assessment Data</t>
    </r>
    <r>
      <rPr>
        <sz val="12"/>
        <color theme="1" tint="0.14996795556505021"/>
        <rFont val="Segoe UI"/>
        <family val="2"/>
      </rPr>
      <t>, which includes Inpatient Rehab Facility-Patient Assessment Instrument (IRF-PAI), Long-Term Care Minimum Data Set (MDS), and Outcome and Assessment Information Set (OASIS) data.</t>
    </r>
  </si>
  <si>
    <r>
      <rPr>
        <sz val="12"/>
        <color rgb="FF09597D"/>
        <rFont val="Segoe UI"/>
        <family val="2"/>
      </rPr>
      <t>Category-Level Form Fields</t>
    </r>
    <r>
      <rPr>
        <sz val="12"/>
        <color theme="1" tint="0.14996795556505021"/>
        <rFont val="Segoe UI"/>
        <family val="2"/>
      </rPr>
      <t>, which enable you to request all files within a category at the same time and provide a standard justification for all files in the category; and</t>
    </r>
  </si>
  <si>
    <r>
      <rPr>
        <sz val="12"/>
        <color rgb="FF09597D"/>
        <rFont val="Segoe UI"/>
        <family val="2"/>
      </rPr>
      <t>File-Level Form Fields</t>
    </r>
    <r>
      <rPr>
        <sz val="12"/>
        <color theme="1" tint="0.14996795556505021"/>
        <rFont val="Segoe UI"/>
        <family val="2"/>
      </rPr>
      <t>, which enable you to either remove specific files from your request or modify a specific file's years and/or justification.</t>
    </r>
  </si>
  <si>
    <t>This tab contains critical background information on the LINKAGE Request Form for NIA-funded study's CMS data, including how NIA has organized request form fields for NIA's CMS data request process. The tab also contains high-level guidance for completing request tabs.</t>
  </si>
  <si>
    <t>Medicaid Analytic eXtract (MAX) Inpatient (IP) Claims contain health services information (e.g., provider characteristics, service costs, service dates) from overnight inpatient hospital stays to Medicaid beneficiaries.
Medicaid Analytic eXtract (MAX) Long Term Care (LT) Claims contain health services information (e.g., facility type, dates of service, discharge status) from institutional long term care facilities (e.g., nursing facility services) for Medicaid beneficiaries.
Medicaid Analytic eXtract (MAX) Other Services (OT) Claims contain health services information (e.g., dates of service, diagnoses codes, procedure codes) from a host of other Medicaid services (e.g., physician services, clinic services, home health) for Medicaid beneficiaries.
Medicaid Analytic eXtract (MAX) Personal Summary (PS) Enrollment Data contain demographic, eligibility, and enrollment information for Medicaid beneficiaries.
Medicaid Analytic eXtract (MAX) Prescription Drug (RX) Data contain information on Medicaid beneficiaries’ prescribed drugs and drug fills, when a Medicaid managed care organization pays for those drugs.</t>
  </si>
  <si>
    <t xml:space="preserve">Medicare Carrier Encounter Claims contain health services information (e.g., dates of service, diagnoses codes, procedure codes) from professional providers (e.g. physicians, nurse practitioners) relative to MA plan paid records for Medicare beneficiaries.
Medicare Durable Medical Equipment (DME) Encounter contain health services information on medical supplies (e.g., prosthetic device, ventilator, or wheelchair) relative to MA plan paid records to Medicare beneficiaries. 
Medicare Home Health Agency (HH) Encounter Claims contain health services information (e.g., diagnoses codes, discharge status, service costs) from home health agency services relative to MA plan paid records for Medicare beneficiaries.
Medicare Inpatient (IP) Encounter Claims contain health services information (e.g., diagnose codes, drug codes, and procedure codes) from inpatient hospital stays relative to Medicare Advantage Plans (MA) paid records for Medicare beneficiaries.
Medicare Outpatient (OP) Encounter Claims contain health services information (e.g., beneficiary demographics, procedure codes, processing codes) from outpatient providers (e.g., rural health clinics and community mental health centers) relative to MA plan paid records for Medicare beneficiaries.
Medicare Skilled Nursing Facility (SNF) Encounter Claims contain health services information (e.g., diagnoses codes, facility type, processing codes) from skilled nursing facility stays relative to MA plan paid records for Medicare beneficiaries. </t>
  </si>
  <si>
    <t xml:space="preserve">TMSIS Analytic Files (TAF) Demographic and Eligibility (DE) Enrollment Data contain demographic, eligibility, and enrollment information of Medicaid beneficiaries.
TMSIS Analytic Files (TAF) Inpatient (IP) Claims contain  health services information (e.g., provider characteristics, service costs, service dates) from overnight inpatient hospital stays for Medicaid beneficiaries.
TMSIS Analytic Files (TAF) Long Term Care (LT) Claims contain  health services information (e.g., facility type, dates of service, discharge status) from institutional long term care facilities (e.g., nursing facility services) for Medicaid beneficiaries.
TMSIS Analytic Files (TAF) Other Services (OT) Claims contain health services information (e.g., physician services, clinic services, and home health services) for Medicaid beneficiaries.
TMSIS Analytic Files (TAF) Pharmacy (RX) Data contain information on Medicaid beneficiaries’ prescribed drugs and drug fills, when a Medicaid managed care organization pays for the drug. </t>
  </si>
  <si>
    <r>
      <t xml:space="preserve">This </t>
    </r>
    <r>
      <rPr>
        <i/>
        <sz val="12"/>
        <color rgb="FF262626"/>
        <rFont val="Segoe UI"/>
        <family val="2"/>
      </rPr>
      <t xml:space="preserve">Summary of Request </t>
    </r>
    <r>
      <rPr>
        <sz val="12"/>
        <color rgb="FF262626"/>
        <rFont val="Segoe UI"/>
        <family val="2"/>
      </rPr>
      <t xml:space="preserve">specifies the file types and, for variable-level requests, variable categories that you have requested. </t>
    </r>
  </si>
  <si>
    <t>If, after reviewing this summary, you need to make any changes, navigate to the relevant tab and update your selections.</t>
  </si>
  <si>
    <t>When done, email valid NIA-funded study partner approval documentation, this Form, and all other file-based NIA DUA request materials to LINKAGE Support (support@linkagesupport.zendesk.com).</t>
  </si>
  <si>
    <t>If you have not yet selected an NIA-funded study in the Research_Project_Info tab, then this table will not display any content.</t>
  </si>
  <si>
    <r>
      <rPr>
        <sz val="12"/>
        <color rgb="FF262626"/>
        <rFont val="Segoe UI Semibold"/>
        <family val="2"/>
      </rPr>
      <t>NOTE</t>
    </r>
    <r>
      <rPr>
        <sz val="12"/>
        <color rgb="FF262626"/>
        <rFont val="Segoe UI"/>
        <family val="2"/>
      </rPr>
      <t xml:space="preserve">: You must select a NIA-funded study in the Research_Project_Info tab to view table information. </t>
    </r>
  </si>
  <si>
    <r>
      <rPr>
        <sz val="12"/>
        <rFont val="Segoe UI"/>
        <family val="2"/>
      </rPr>
      <t xml:space="preserve">Before completing this sub-form, review the </t>
    </r>
    <r>
      <rPr>
        <b/>
        <u/>
        <sz val="12"/>
        <color rgb="FF09597D"/>
        <rFont val="Segoe UI"/>
        <family val="2"/>
      </rPr>
      <t>About_Request_Form</t>
    </r>
    <r>
      <rPr>
        <sz val="12"/>
        <color rgb="FFA96D2B"/>
        <rFont val="Segoe UI"/>
        <family val="2"/>
      </rPr>
      <t xml:space="preserve"> </t>
    </r>
    <r>
      <rPr>
        <sz val="12"/>
        <rFont val="Segoe UI"/>
        <family val="2"/>
      </rPr>
      <t>tab, which contains critical information on sub-form fields and their differences relative to ResDAC's CMS data request materials.</t>
    </r>
  </si>
  <si>
    <r>
      <rPr>
        <sz val="12"/>
        <color rgb="FF262626"/>
        <rFont val="Segoe UI"/>
        <family val="2"/>
      </rPr>
      <t xml:space="preserve">If you are submitting an update request, complete the </t>
    </r>
    <r>
      <rPr>
        <sz val="12"/>
        <color rgb="FF09597D"/>
        <rFont val="Segoe UI"/>
        <family val="2"/>
      </rPr>
      <t>"</t>
    </r>
    <r>
      <rPr>
        <b/>
        <u/>
        <sz val="12"/>
        <color rgb="FF09597D"/>
        <rFont val="Segoe UI"/>
        <family val="2"/>
      </rPr>
      <t>Update Request Sub-Form Section</t>
    </r>
    <r>
      <rPr>
        <sz val="12"/>
        <color rgb="FF09597D"/>
        <rFont val="Segoe UI"/>
        <family val="2"/>
      </rPr>
      <t>"</t>
    </r>
    <r>
      <rPr>
        <sz val="12"/>
        <color rgb="FF262626"/>
        <rFont val="Segoe UI"/>
        <family val="2"/>
      </rPr>
      <t xml:space="preserve"> below.</t>
    </r>
  </si>
  <si>
    <t>Navigate to Research_Project_Info, review the tab form's instructions, and complete all required form fields.</t>
  </si>
  <si>
    <t>In each data tab, start with the category-level form fields, as they will auto-populate responses for individual files or variables.</t>
  </si>
  <si>
    <t>To effectively complete this form:</t>
  </si>
  <si>
    <r>
      <rPr>
        <sz val="11"/>
        <color rgb="FF262626"/>
        <rFont val="Segoe UI"/>
        <family val="2"/>
      </rPr>
      <t xml:space="preserve">Email valid NIA-funded study approval documentation, this Form, and all other file-based request forms for requesting CMS data through NIA to LINKAGE at </t>
    </r>
    <r>
      <rPr>
        <u/>
        <sz val="11"/>
        <color rgb="FF09597D"/>
        <rFont val="Segoe UI Semibold"/>
        <family val="2"/>
      </rPr>
      <t>support@linkagesupport.zendesk.com</t>
    </r>
    <r>
      <rPr>
        <sz val="11"/>
        <color rgb="FF262626"/>
        <rFont val="Segoe UI"/>
        <family val="2"/>
      </rPr>
      <t>.</t>
    </r>
  </si>
  <si>
    <t>You can reach out to us to receive a copy of the dictionary.</t>
  </si>
  <si>
    <t>WARNING</t>
  </si>
  <si>
    <t xml:space="preserve">You may only request data for one NIA-funded study partner through this form. If you need data for multiple study partners, you must complete a separate Request Form for each study partner.  </t>
  </si>
  <si>
    <t xml:space="preserve">This form is for: </t>
  </si>
  <si>
    <t>LINKAGE Request Form for NHATS Study Cohorts’ CMS Data</t>
  </si>
  <si>
    <t xml:space="preserve">(1) NIA-funded and non-NIA funded research studies who need to request the linked-CMS data files from NHATS; and </t>
  </si>
  <si>
    <t>(2) NHATS Study Institute to request linked-CMS data files for research purposes.</t>
  </si>
  <si>
    <t>All</t>
  </si>
  <si>
    <t>Created the NHATS-Specific data request form.</t>
  </si>
  <si>
    <t>Added About_Request_Form to provide critical background information on the MedRIC Data Request Form.</t>
  </si>
  <si>
    <t>Form_Instructions</t>
  </si>
  <si>
    <t>Added Form_Instructions to provide guidance for completing the request tabs.</t>
  </si>
  <si>
    <t>Added Additional years and/or files use in the application, and Analytic Software Selection.</t>
  </si>
  <si>
    <t>Added new data types and data years.</t>
  </si>
  <si>
    <t>App_B_Encryption_Levels</t>
  </si>
  <si>
    <t>Added App_B_Encryption_Levels to provide information about the encryption levels for MedRIC-produced CMS data.</t>
  </si>
  <si>
    <t>App_D_Acronyms</t>
  </si>
  <si>
    <t>Added App_D_Acronyms to review full terms for acronyms referenced in this Form.</t>
  </si>
  <si>
    <t>App_E_Glossary</t>
  </si>
  <si>
    <t>Added App_E_Glossary to get definitions for terms used in this Form.</t>
  </si>
  <si>
    <t>Added Revision_Log to document Form changes.</t>
  </si>
  <si>
    <t>Rebranded from MedRIC to LINKAGE, and updated the layout.</t>
  </si>
  <si>
    <t>The data files that do NOT require variable category justifications are Medicare Enrollment data (i.e., Denominator (DN) and Master Beneficiary Summary File (MBSF) - Base Segment data), Additional Medicare Summary Files (i.e., MBSF: Chronic Conditions, Cost &amp; Utilization, and Other Chronic or Potentially Disabling Conditions data), Medicaid Enrollment files (i.e., Medicaid Analytic eXtract (MAX) Personal Summary (PS) and TMSIS Analytic Files (TAF) Demographic and Eligibility (DE) data), Medicare Parts A &amp; B data (i.e., Medicare Carrier (PB) claims, Medicare Durable Medical Equipment (DM) claims, Medicare Home Health (HH) claims, Medicare Hospice (HS) claims, Medicare Inpatient (IP) claims, Medicare Outpatient (OP) claims, Medicare Skilled Nursing Facility (SN) claims, MedRIC-Built Medicare Provider Analysis &amp; Review (MedPAR)) data, Part C data (i.e., Medicare PB Encounter claims, Medicare DM Encounter claims, Medicare HH Encounter claims, Medicare IP Encounter claims, Medicare OP Encounter claims, Medicare SN Encounter claims), Part D Drug data (e.g., Medicare Part D Drug Event (PDE), and Part D Medication Therapy Management (MTM)) and Medicaid data (i.e., MAX IP claims, MAX Long Term Care (LT) claims, MAX Other Services (OT) claims, MAX Prescription Drug (RX) data, TAF IP claims, TAF LT claims, TAF OT claims, and TAF RX data) and Assessment data (Institutional Rehabilitation Facility (IRF) - Patient Assessment Instrument (PAI), Long-Term Care Minimum Data Set (MDS), and Home Health Outcome and Assessment Information Set (OASIS).</t>
  </si>
  <si>
    <t>The data files that DO require variable category justifications: N/A.</t>
  </si>
  <si>
    <t>You must have a data agreement with NHATS and LINKAGE data version information (i.e., Standard, or Provider) from NHATS to request CMS research files through LINKAGE.</t>
  </si>
  <si>
    <t xml:space="preserve">If you do not have this information, work with NHATS to obtain it before completing this Form. </t>
  </si>
  <si>
    <t xml:space="preserve">Before completing this Request Form, review the data dictionary for the NHATS and CMS data sets you want to use in your research project. </t>
  </si>
  <si>
    <t>For example, if you do not need a file, delete the auto-populated responses for that file.</t>
  </si>
  <si>
    <t>Likewise, if you need to provide a specific justification for the file, edit the auto-populated response for that file.</t>
  </si>
  <si>
    <t>National Health and Aging Trends Study (NHATS)</t>
  </si>
  <si>
    <t>National Health and Aging Trends Study</t>
  </si>
  <si>
    <t>To request CMS data files for the National Health and Aging Trends Study (NHATS)</t>
  </si>
  <si>
    <t>If you need Medicare art D Prescription Drug Event (PDE) data for your research project, complete form fields in numerical order (1, 2, 3, 4, and 5), as not doing so will break the tab's auto-populated formulas. Then, review the auto-populated content and edit if needed.</t>
  </si>
  <si>
    <t>1. REQUEST PART D DRUG EVENT DATA?</t>
  </si>
  <si>
    <t>Linkage-Built Medicare Provider Analysis &amp; Review (MedPAR)</t>
  </si>
  <si>
    <t xml:space="preserve">In the 1. REQUEST (FILE TYPE NAME) DATA? cells (Cells E22, E29, E37, E44, E57, E68, E74, E81, E94, E100, and E106) for each category of file needed, expand the drop-down menu, and select X.
</t>
  </si>
  <si>
    <t>In the 2. START YEAR cells (Cells F22, F29, F37, F44, F57, F68, F74, F81, F94, F100, and F106), enter the start years you need for your research project.</t>
  </si>
  <si>
    <t>In the 3. END YEAR cells (Cells G22, G29, G37, G44, G57, G68, G74, G81, G94, G100, and G106), enter the end years you need for your research project.</t>
  </si>
  <si>
    <t>In the 4. ENCRYPTION LEVEL cells for each variable category selected (Cells H22, H29, H37, H44, H57, H68, H74, H81, H94, H100, and H106), expand the drop-down menu, and select the data version that the NIA-funded study approved you for.</t>
  </si>
  <si>
    <t>In the 5. REQUEST JUSTIFICATION cells for each data category selected (Cells I22, I29, I37, I44, I57, I68, I74, I81, I94, I100, and I106), enter the reason why you need the data to complete your research project.</t>
  </si>
  <si>
    <t>Select a Masking Level</t>
  </si>
  <si>
    <t>4. MASKING LEVEL</t>
  </si>
  <si>
    <r>
      <rPr>
        <b/>
        <sz val="11"/>
        <color theme="0"/>
        <rFont val="Segoe UI"/>
        <family val="2"/>
      </rPr>
      <t>5. REQUEST JUSTIFICATION FOR PART D PRESCRIPTION DRUG EVENT DATA (REQUIRED)</t>
    </r>
    <r>
      <rPr>
        <sz val="11"/>
        <color theme="0"/>
        <rFont val="Segoe UI"/>
        <family val="2"/>
      </rPr>
      <t xml:space="preserve">
Explain why you need the files requested and how the requested files meet the minimum data necessary for your research project.</t>
    </r>
  </si>
  <si>
    <t xml:space="preserve">Medicare Part D Prescription Drug Event (PDE) </t>
  </si>
  <si>
    <t>PDE file contains "prescription drug costs and payment data that enable CMS to make payments to [Part D Plan Sponsors] and otherwise administer the Part D benefit. When a beneficiary fills a prescription under Medicare Part D, a prescription drug plan sponsor must submit a record to CMS. The PDE data are not the same as individual drug claim transactions but are extracts using CMS-defined standard fields" (ResDAC).</t>
  </si>
  <si>
    <t>To help you understand the masking levels set by a NIA-funded study, the table below specifies key identifiers and how LINKAGE handles these identifiers in each  version offered by the NIA-funded study.</t>
  </si>
  <si>
    <t>About the App_B_Masking Levels Tab</t>
  </si>
  <si>
    <t>About the App_B_Masking_Levels Tab</t>
  </si>
  <si>
    <t xml:space="preserve">The Appendix B: Masking levels tab contains research project-specific variable masking information. </t>
  </si>
  <si>
    <t>Use this tab to learn about the masking applied to the CMS data you've selected.</t>
  </si>
  <si>
    <t>App B Masking Levels</t>
  </si>
  <si>
    <t xml:space="preserve">Navigate to each data tab relevant to your research project, reviewing its instructions carefully. </t>
  </si>
  <si>
    <r>
      <rPr>
        <sz val="12"/>
        <color rgb="FF09597D"/>
        <rFont val="Segoe UI"/>
        <family val="2"/>
      </rPr>
      <t>Part D Data</t>
    </r>
    <r>
      <rPr>
        <sz val="12"/>
        <color theme="1" tint="0.14996795556505021"/>
        <rFont val="Segoe UI"/>
        <family val="2"/>
      </rPr>
      <t>, which includes Medicare  Part D Drug Event (PDE), and Part D Medication Therapy Management (MTM) data.</t>
    </r>
  </si>
  <si>
    <t>NIA STUDY INSTITUTE PARTNER
Select the NIA-funded study whose CMS data you want to request.</t>
  </si>
  <si>
    <t>The Research_Project_Info tab collects information on your research project, including your research project title, Principal Investigator, and contact information as well as which analytic software (e.g., R, SAS, or Stata) your team will need in the LINKAGE Enclave.</t>
  </si>
  <si>
    <t>To complete this Form, you'll need your research project title, Principal Investigator's full name, a Point of Contact's information, and a sense of which analytic software (e.g., R, SAS, and/or Stata) members of your team will need to use in the LINKAGE Enclave.</t>
  </si>
  <si>
    <t>SAS OR STATA
In addition to or instead of R, NIA permits your team to access and use either SAS or Stata in the LINKAGE Enclave. If your team needs to use SAS or Stata to conduct your research project, select either the SAS or Stata radio button.</t>
  </si>
  <si>
    <t>LINKAGE ENCLAVE: ANALYTIC SOFTWARE OPTIONS</t>
  </si>
  <si>
    <t>The Summary tab specifies the file types and, for variable-level requests, variable categories that you have requested based on your selections in the File-Level_Request tab.</t>
  </si>
  <si>
    <t>The National Health and Aging Trends Study</t>
  </si>
  <si>
    <t>Removed because the content is no longer relevant.</t>
  </si>
  <si>
    <t xml:space="preserve">Added App_C_ResDAC_Forms_Comparison to understand the differences between the MedRIC and ResDAC request materials. </t>
  </si>
  <si>
    <t>1. REQUEST OASIS DATA?</t>
  </si>
  <si>
    <t>1. REQUEST MDS DATA?</t>
  </si>
  <si>
    <t>1. REQUEST IRF-PAI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</si>
</sst>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
    <numFmt numFmtId="165" formatCode="[&lt;=9999999]###\-####;\(###\)\ ###\-####"/>
  </numFmts>
  <fonts count="89" x14ac:knownFonts="1">
    <font>
      <sz val="12"/>
      <name val="Segoe UI"/>
      <family val="2"/>
    </font>
    <font>
      <sz val="11"/>
      <color theme="1"/>
      <name val="Calibri"/>
      <family val="2"/>
      <scheme val="minor"/>
    </font>
    <font>
      <sz val="11"/>
      <color theme="1"/>
      <name val="Calibri"/>
      <family val="2"/>
      <scheme val="minor"/>
    </font>
    <font>
      <i/>
      <sz val="10"/>
      <color theme="1" tint="0.24994659260841701"/>
      <name val="Lucida Bright"/>
      <family val="1"/>
    </font>
    <font>
      <u/>
      <sz val="11"/>
      <color rgb="FFA96D2B"/>
      <name val="Franklin Gothic Book"/>
      <family val="2"/>
    </font>
    <font>
      <sz val="16"/>
      <color theme="1"/>
      <name val="Franklin Gothic Book"/>
      <family val="2"/>
    </font>
    <font>
      <sz val="16"/>
      <color rgb="FFFF0000"/>
      <name val="Franklin Gothic Book"/>
      <family val="2"/>
    </font>
    <font>
      <sz val="15"/>
      <color theme="1" tint="0.24994659260841701"/>
      <name val="Franklin Gothic Book"/>
      <family val="2"/>
    </font>
    <font>
      <b/>
      <sz val="20"/>
      <color theme="0"/>
      <name val="Segoe UI"/>
      <family val="2"/>
    </font>
    <font>
      <sz val="10"/>
      <color theme="0"/>
      <name val="Segoe UI"/>
      <family val="2"/>
    </font>
    <font>
      <u/>
      <sz val="12"/>
      <color rgb="FF4A5A74"/>
      <name val="Franklin Gothic Book"/>
      <family val="2"/>
    </font>
    <font>
      <sz val="12"/>
      <name val="Segoe UI"/>
      <family val="2"/>
    </font>
    <font>
      <sz val="12"/>
      <color theme="1" tint="0.14993743705557422"/>
      <name val="Segoe UI"/>
      <family val="2"/>
    </font>
    <font>
      <sz val="11"/>
      <color theme="1" tint="0.24994659260841701"/>
      <name val="Segoe UI"/>
      <family val="2"/>
    </font>
    <font>
      <sz val="11"/>
      <color theme="1"/>
      <name val="Segoe UI Semibold"/>
      <family val="2"/>
    </font>
    <font>
      <sz val="11"/>
      <color theme="0"/>
      <name val="Segoe UI Semibold"/>
      <family val="2"/>
    </font>
    <font>
      <sz val="12"/>
      <color theme="1" tint="0.24994659260841701"/>
      <name val="Franklin Gothic Book"/>
      <family val="2"/>
    </font>
    <font>
      <sz val="11"/>
      <name val="Segoe UI Semibold"/>
      <family val="2"/>
    </font>
    <font>
      <u/>
      <sz val="11"/>
      <color rgb="FFA96D2B"/>
      <name val="Segoe UI Semibold"/>
      <family val="2"/>
    </font>
    <font>
      <sz val="12"/>
      <color theme="1" tint="0.14990691854609822"/>
      <name val="Segoe UI Semibold"/>
      <family val="2"/>
    </font>
    <font>
      <i/>
      <sz val="11"/>
      <color theme="1" tint="0.24994659260841701"/>
      <name val="Segoe UI"/>
      <family val="2"/>
    </font>
    <font>
      <sz val="11"/>
      <color rgb="FF7E542A"/>
      <name val="Segoe UI Semibold"/>
      <family val="2"/>
    </font>
    <font>
      <sz val="12"/>
      <color theme="0"/>
      <name val="Segoe UI"/>
      <family val="2"/>
    </font>
    <font>
      <sz val="11"/>
      <color rgb="FF262626"/>
      <name val="Segoe UI"/>
      <family val="2"/>
    </font>
    <font>
      <sz val="12"/>
      <color rgb="FF262626"/>
      <name val="Segoe UI"/>
      <family val="2"/>
    </font>
    <font>
      <sz val="12"/>
      <color rgb="FF262626"/>
      <name val="Segoe UI Semibold"/>
      <family val="2"/>
    </font>
    <font>
      <sz val="11"/>
      <color rgb="FF404040"/>
      <name val="Segoe UI"/>
      <family val="2"/>
    </font>
    <font>
      <b/>
      <sz val="16"/>
      <color theme="0"/>
      <name val="Segoe UI"/>
      <family val="2"/>
    </font>
    <font>
      <sz val="12"/>
      <name val="Segoe UI Semibold"/>
      <family val="2"/>
    </font>
    <font>
      <i/>
      <sz val="11"/>
      <color rgb="FF404040"/>
      <name val="Segoe UI Semibold"/>
      <family val="2"/>
    </font>
    <font>
      <sz val="14"/>
      <color theme="1" tint="0.1498764000366222"/>
      <name val="Segoe UI Semibold"/>
      <family val="2"/>
    </font>
    <font>
      <sz val="11"/>
      <color theme="1" tint="0.24994659260841701"/>
      <name val="Segoe UI Semibold"/>
      <family val="2"/>
    </font>
    <font>
      <sz val="10"/>
      <color theme="0"/>
      <name val="Franklin Gothic Medium"/>
      <family val="2"/>
    </font>
    <font>
      <sz val="12"/>
      <name val="Calibri"/>
      <family val="2"/>
      <scheme val="minor"/>
    </font>
    <font>
      <sz val="12"/>
      <color theme="1" tint="0.14993743705557422"/>
      <name val="Calibri"/>
      <family val="2"/>
      <scheme val="minor"/>
    </font>
    <font>
      <sz val="12"/>
      <color rgb="FF09597D"/>
      <name val="Calibri"/>
      <family val="2"/>
      <scheme val="minor"/>
    </font>
    <font>
      <sz val="11"/>
      <color theme="1" tint="0.14993743705557422"/>
      <name val="Calibri"/>
      <family val="2"/>
      <scheme val="minor"/>
    </font>
    <font>
      <sz val="10"/>
      <color rgb="FFF0F0F0"/>
      <name val="Segoe UI"/>
      <family val="2"/>
    </font>
    <font>
      <sz val="12"/>
      <color theme="1" tint="0.14996795556505021"/>
      <name val="Segoe UI"/>
      <family val="2"/>
    </font>
    <font>
      <b/>
      <sz val="18"/>
      <color rgb="FF09597D"/>
      <name val="Segoe UI"/>
      <family val="2"/>
    </font>
    <font>
      <sz val="11"/>
      <color theme="1"/>
      <name val="Segoe UI"/>
      <family val="2"/>
    </font>
    <font>
      <u/>
      <sz val="11"/>
      <color rgb="FF09597D"/>
      <name val="Segoe UI"/>
      <family val="2"/>
    </font>
    <font>
      <i/>
      <sz val="11"/>
      <color theme="1"/>
      <name val="Segoe UI"/>
      <family val="2"/>
    </font>
    <font>
      <u/>
      <sz val="11"/>
      <color rgb="FFA96D2B"/>
      <name val="Segoe UI"/>
      <family val="2"/>
    </font>
    <font>
      <sz val="11"/>
      <name val="Segoe UI"/>
      <family val="2"/>
    </font>
    <font>
      <b/>
      <sz val="11"/>
      <name val="Segoe UI"/>
      <family val="2"/>
    </font>
    <font>
      <i/>
      <sz val="11"/>
      <color rgb="FF262626"/>
      <name val="Segoe UI"/>
      <family val="2"/>
    </font>
    <font>
      <sz val="9"/>
      <color theme="0" tint="-0.34998626667073579"/>
      <name val="Segoe UI"/>
      <family val="2"/>
    </font>
    <font>
      <b/>
      <sz val="12"/>
      <name val="Segoe UI"/>
      <family val="2"/>
    </font>
    <font>
      <sz val="12"/>
      <color theme="1" tint="0.14999847407452621"/>
      <name val="Segoe UI"/>
      <family val="2"/>
    </font>
    <font>
      <sz val="10"/>
      <color theme="1" tint="0.24994659260841701"/>
      <name val="Segoe UI"/>
      <family val="2"/>
    </font>
    <font>
      <i/>
      <sz val="11"/>
      <name val="Segoe UI"/>
      <family val="2"/>
    </font>
    <font>
      <sz val="14"/>
      <color theme="1" tint="0.1498764000366222"/>
      <name val="Segoe UI"/>
      <family val="2"/>
    </font>
    <font>
      <sz val="12"/>
      <color rgb="FF7E542A"/>
      <name val="Segoe UI"/>
      <family val="2"/>
    </font>
    <font>
      <sz val="12"/>
      <color rgb="FF09597D"/>
      <name val="Segoe UI"/>
      <family val="2"/>
    </font>
    <font>
      <b/>
      <sz val="12"/>
      <color theme="1"/>
      <name val="Segoe UI"/>
      <family val="2"/>
    </font>
    <font>
      <sz val="11"/>
      <color theme="1" tint="0.14996795556505021"/>
      <name val="Segoe UI"/>
      <family val="2"/>
    </font>
    <font>
      <u/>
      <sz val="12"/>
      <color rgb="FFA96D2B"/>
      <name val="Segoe UI"/>
      <family val="2"/>
    </font>
    <font>
      <b/>
      <sz val="16"/>
      <color rgb="FF09597D"/>
      <name val="Segoe UI"/>
      <family val="2"/>
    </font>
    <font>
      <b/>
      <sz val="16"/>
      <color rgb="FFA16B35"/>
      <name val="Segoe UI"/>
      <family val="2"/>
    </font>
    <font>
      <b/>
      <sz val="11"/>
      <color theme="1"/>
      <name val="Segoe UI"/>
      <family val="2"/>
    </font>
    <font>
      <i/>
      <sz val="11"/>
      <color rgb="FF404040"/>
      <name val="Segoe UI"/>
      <family val="2"/>
    </font>
    <font>
      <sz val="11"/>
      <color rgb="FF09597D"/>
      <name val="Segoe UI"/>
      <family val="2"/>
    </font>
    <font>
      <sz val="11"/>
      <color theme="1" tint="0.249977111117893"/>
      <name val="Segoe UI"/>
      <family val="2"/>
    </font>
    <font>
      <sz val="11"/>
      <color theme="0"/>
      <name val="Segoe UI"/>
      <family val="2"/>
    </font>
    <font>
      <i/>
      <sz val="10"/>
      <color rgb="FF404040"/>
      <name val="Segoe UI"/>
      <family val="2"/>
    </font>
    <font>
      <sz val="10"/>
      <color rgb="FFFBF5EE"/>
      <name val="Segoe UI"/>
      <family val="2"/>
    </font>
    <font>
      <sz val="12"/>
      <color rgb="FFC00000"/>
      <name val="Segoe UI"/>
      <family val="2"/>
    </font>
    <font>
      <b/>
      <sz val="11"/>
      <color theme="0"/>
      <name val="Segoe UI"/>
      <family val="2"/>
    </font>
    <font>
      <b/>
      <sz val="11"/>
      <color theme="1" tint="0.249977111117893"/>
      <name val="Segoe UI"/>
      <family val="2"/>
    </font>
    <font>
      <b/>
      <i/>
      <sz val="11"/>
      <color theme="1" tint="0.34998626667073579"/>
      <name val="Segoe UI"/>
      <family val="2"/>
    </font>
    <font>
      <sz val="12"/>
      <color theme="1" tint="0.249977111117893"/>
      <name val="Segoe UI"/>
      <family val="2"/>
    </font>
    <font>
      <sz val="11"/>
      <color theme="1" tint="0.34998626667073579"/>
      <name val="Segoe UI"/>
      <family val="2"/>
    </font>
    <font>
      <sz val="10"/>
      <color theme="1" tint="0.249977111117893"/>
      <name val="Segoe UI"/>
      <family val="2"/>
    </font>
    <font>
      <i/>
      <sz val="12"/>
      <color rgb="FF262626"/>
      <name val="Segoe UI"/>
      <family val="2"/>
    </font>
    <font>
      <i/>
      <sz val="12"/>
      <color theme="1" tint="0.14996795556505021"/>
      <name val="Segoe UI"/>
      <family val="2"/>
    </font>
    <font>
      <sz val="12"/>
      <color rgb="FF404040"/>
      <name val="Segoe UI"/>
      <family val="2"/>
    </font>
    <font>
      <sz val="10"/>
      <color theme="0" tint="-0.34998626667073579"/>
      <name val="Segoe UI"/>
      <family val="2"/>
    </font>
    <font>
      <u/>
      <sz val="11"/>
      <color rgb="FF09597D"/>
      <name val="Segoe UI Semibold"/>
      <family val="2"/>
    </font>
    <font>
      <b/>
      <sz val="12"/>
      <color theme="1" tint="0.14993743705557422"/>
      <name val="Segoe UI"/>
      <family val="2"/>
    </font>
    <font>
      <sz val="9"/>
      <color theme="1" tint="0.249977111117893"/>
      <name val="Segoe UI"/>
      <family val="2"/>
    </font>
    <font>
      <b/>
      <sz val="12"/>
      <color rgb="FF09597D"/>
      <name val="Segoe UI"/>
      <family val="2"/>
    </font>
    <font>
      <b/>
      <u/>
      <sz val="12"/>
      <color rgb="FF09597D"/>
      <name val="Segoe UI"/>
      <family val="2"/>
    </font>
    <font>
      <sz val="12"/>
      <color rgb="FFA96D2B"/>
      <name val="Segoe UI"/>
      <family val="2"/>
    </font>
    <font>
      <sz val="12"/>
      <color theme="0"/>
      <name val="Segoe UI Semibold"/>
      <family val="2"/>
    </font>
    <font>
      <sz val="9"/>
      <color theme="1" tint="0.14996795556505021"/>
      <name val="Segoe UI"/>
      <family val="2"/>
    </font>
    <font>
      <b/>
      <sz val="12"/>
      <color theme="1" tint="0.14996795556505021"/>
      <name val="Segoe UI"/>
      <family val="2"/>
    </font>
    <font>
      <b/>
      <sz val="12"/>
      <color rgb="FF262626"/>
      <name val="Segoe UI"/>
      <family val="2"/>
    </font>
    <font>
      <b/>
      <sz val="18"/>
      <color theme="0"/>
      <name val="Segoe UI"/>
      <family val="2"/>
    </font>
  </fonts>
  <fills count="20">
    <fill>
      <patternFill patternType="none"/>
    </fill>
    <fill>
      <patternFill patternType="gray125"/>
    </fill>
    <fill>
      <patternFill patternType="solid">
        <fgColor theme="0" tint="-4.9989318521683403E-2"/>
        <bgColor indexed="64"/>
      </patternFill>
    </fill>
    <fill>
      <gradientFill degree="90">
        <stop position="0">
          <color theme="0"/>
        </stop>
        <stop position="1">
          <color theme="0" tint="-5.0965910824915313E-2"/>
        </stop>
      </gradientFill>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bgColor auto="1"/>
      </patternFill>
    </fill>
    <fill>
      <patternFill patternType="solid">
        <fgColor rgb="FFEAEAEA"/>
        <bgColor indexed="64"/>
      </patternFill>
    </fill>
    <fill>
      <patternFill patternType="solid">
        <fgColor rgb="FF7E542A"/>
        <bgColor indexed="64"/>
      </patternFill>
    </fill>
    <fill>
      <patternFill patternType="solid">
        <fgColor rgb="FFDCCFBE"/>
        <bgColor indexed="64"/>
      </patternFill>
    </fill>
    <fill>
      <patternFill patternType="solid">
        <fgColor rgb="FFF5F5F5"/>
        <bgColor indexed="64"/>
      </patternFill>
    </fill>
    <fill>
      <patternFill patternType="solid">
        <fgColor theme="1"/>
        <bgColor indexed="64"/>
      </patternFill>
    </fill>
    <fill>
      <patternFill patternType="solid">
        <fgColor rgb="FF7E542A"/>
        <bgColor rgb="FF7E542A"/>
      </patternFill>
    </fill>
    <fill>
      <patternFill patternType="solid">
        <fgColor rgb="FF81562B"/>
        <bgColor rgb="FF7E542A"/>
      </patternFill>
    </fill>
    <fill>
      <patternFill patternType="solid">
        <fgColor theme="9" tint="-0.24994659260841701"/>
        <bgColor indexed="64"/>
      </patternFill>
    </fill>
    <fill>
      <patternFill patternType="solid">
        <fgColor indexed="52"/>
      </patternFill>
    </fill>
    <fill>
      <patternFill patternType="solid">
        <fgColor rgb="FF09597D"/>
        <bgColor indexed="64"/>
      </patternFill>
    </fill>
    <fill>
      <patternFill patternType="solid">
        <fgColor rgb="FF09597D"/>
        <bgColor rgb="FF7E542A"/>
      </patternFill>
    </fill>
    <fill>
      <patternFill patternType="solid">
        <fgColor rgb="FFCDDEE5"/>
        <bgColor indexed="64"/>
      </patternFill>
    </fill>
  </fills>
  <borders count="82">
    <border>
      <left/>
      <right/>
      <top/>
      <bottom/>
      <diagonal/>
    </border>
    <border>
      <left style="thin">
        <color theme="1" tint="0.34998626667073579"/>
      </left>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auto="1"/>
      </left>
      <right style="thin">
        <color auto="1"/>
      </right>
      <top style="thin">
        <color auto="1"/>
      </top>
      <bottom style="thin">
        <color auto="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2" tint="-0.24994659260841701"/>
      </bottom>
      <diagonal/>
    </border>
    <border>
      <left style="thin">
        <color theme="0" tint="-0.14993743705557422"/>
      </left>
      <right/>
      <top style="thin">
        <color theme="0" tint="-0.14993743705557422"/>
      </top>
      <bottom/>
      <diagonal/>
    </border>
    <border>
      <left style="thin">
        <color theme="0" tint="-0.34998626667073579"/>
      </left>
      <right/>
      <top/>
      <bottom style="thin">
        <color theme="0" tint="-0.34998626667073579"/>
      </bottom>
      <diagonal/>
    </border>
    <border>
      <left/>
      <right/>
      <top style="thin">
        <color theme="0" tint="-0.34998626667073579"/>
      </top>
      <bottom/>
      <diagonal/>
    </border>
    <border>
      <left style="thin">
        <color theme="0" tint="-0.14999847407452621"/>
      </left>
      <right/>
      <top style="thin">
        <color theme="0" tint="-0.14999847407452621"/>
      </top>
      <bottom style="thin">
        <color theme="0" tint="-0.14999847407452621"/>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34998626667073579"/>
      </right>
      <top style="thin">
        <color theme="0" tint="-0.34998626667073579"/>
      </top>
      <bottom/>
      <diagonal/>
    </border>
    <border>
      <left/>
      <right/>
      <top style="thin">
        <color theme="0" tint="-0.34998626667073579"/>
      </top>
      <bottom style="thin">
        <color rgb="FFA16B35"/>
      </bottom>
      <diagonal/>
    </border>
    <border>
      <left style="medium">
        <color rgb="FF7E542A"/>
      </left>
      <right style="medium">
        <color rgb="FF7E542A"/>
      </right>
      <top style="medium">
        <color rgb="FF7E542A"/>
      </top>
      <bottom style="medium">
        <color rgb="FF7E542A"/>
      </bottom>
      <diagonal/>
    </border>
    <border>
      <left style="thin">
        <color theme="0" tint="-0.34998626667073579"/>
      </left>
      <right/>
      <top/>
      <bottom/>
      <diagonal/>
    </border>
    <border>
      <left/>
      <right style="thin">
        <color theme="0" tint="-0.34998626667073579"/>
      </right>
      <top/>
      <bottom style="thin">
        <color theme="0" tint="-0.34998626667073579"/>
      </bottom>
      <diagonal/>
    </border>
    <border>
      <left/>
      <right style="thin">
        <color theme="0" tint="-0.249977111117893"/>
      </right>
      <top/>
      <bottom/>
      <diagonal/>
    </border>
    <border>
      <left style="thin">
        <color theme="0"/>
      </left>
      <right/>
      <top/>
      <bottom style="thin">
        <color theme="0" tint="-0.34998626667073579"/>
      </bottom>
      <diagonal/>
    </border>
    <border>
      <left/>
      <right/>
      <top style="thin">
        <color theme="0" tint="-0.34998626667073579"/>
      </top>
      <bottom style="thin">
        <color theme="0" tint="-0.249977111117893"/>
      </bottom>
      <diagonal/>
    </border>
    <border>
      <left/>
      <right style="thin">
        <color theme="0" tint="-0.34998626667073579"/>
      </right>
      <top/>
      <bottom/>
      <diagonal/>
    </border>
    <border>
      <left/>
      <right style="thin">
        <color theme="0" tint="-0.249977111117893"/>
      </right>
      <top style="thin">
        <color theme="0" tint="-0.24994659260841701"/>
      </top>
      <bottom style="thin">
        <color theme="0" tint="-0.24994659260841701"/>
      </bottom>
      <diagonal/>
    </border>
    <border>
      <left style="thin">
        <color theme="0"/>
      </left>
      <right/>
      <top/>
      <bottom style="thin">
        <color theme="0" tint="-0.24994659260841701"/>
      </bottom>
      <diagonal/>
    </border>
    <border>
      <left/>
      <right/>
      <top style="thin">
        <color theme="0" tint="-0.34998626667073579"/>
      </top>
      <bottom style="thin">
        <color theme="0" tint="-0.24994659260841701"/>
      </bottom>
      <diagonal/>
    </border>
    <border>
      <left/>
      <right/>
      <top/>
      <bottom style="thin">
        <color theme="0" tint="-0.249977111117893"/>
      </bottom>
      <diagonal/>
    </border>
    <border>
      <left style="thin">
        <color theme="0" tint="-0.34998626667073579"/>
      </left>
      <right style="thin">
        <color theme="0" tint="-0.249977111117893"/>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24994659260841701"/>
      </left>
      <right/>
      <top style="thin">
        <color theme="0" tint="-0.24994659260841701"/>
      </top>
      <bottom style="thin">
        <color theme="1" tint="0.499984740745262"/>
      </bottom>
      <diagonal/>
    </border>
    <border>
      <left style="thin">
        <color theme="0" tint="-0.34998626667073579"/>
      </left>
      <right style="thin">
        <color theme="0" tint="-0.34998626667073579"/>
      </right>
      <top/>
      <bottom style="thin">
        <color theme="0" tint="-0.499984740745262"/>
      </bottom>
      <diagonal/>
    </border>
    <border>
      <left style="thin">
        <color theme="0" tint="-0.34998626667073579"/>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top style="thin">
        <color theme="0" tint="-0.34998626667073579"/>
      </top>
      <bottom style="thin">
        <color theme="0" tint="-0.249977111117893"/>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top style="thin">
        <color theme="0" tint="-0.24994659260841701"/>
      </top>
      <bottom style="thin">
        <color theme="1" tint="0.499984740745262"/>
      </bottom>
      <diagonal/>
    </border>
    <border>
      <left/>
      <right style="thin">
        <color theme="0"/>
      </right>
      <top/>
      <bottom style="thin">
        <color theme="0" tint="-0.24994659260841701"/>
      </bottom>
      <diagonal/>
    </border>
    <border>
      <left style="thin">
        <color theme="0" tint="-0.24994659260841701"/>
      </left>
      <right style="thin">
        <color theme="0" tint="-0.34998626667073579"/>
      </right>
      <top/>
      <bottom/>
      <diagonal/>
    </border>
    <border>
      <left style="thin">
        <color theme="0" tint="-0.24994659260841701"/>
      </left>
      <right style="thin">
        <color theme="0" tint="-0.249977111117893"/>
      </right>
      <top/>
      <bottom/>
      <diagonal/>
    </border>
    <border>
      <left style="thin">
        <color theme="0" tint="-0.249977111117893"/>
      </left>
      <right/>
      <top style="thin">
        <color theme="0" tint="-0.34998626667073579"/>
      </top>
      <bottom style="thin">
        <color theme="0" tint="-0.249977111117893"/>
      </bottom>
      <diagonal/>
    </border>
    <border>
      <left style="thin">
        <color theme="0" tint="-0.249977111117893"/>
      </left>
      <right style="thin">
        <color theme="0" tint="-0.249977111117893"/>
      </right>
      <top style="thin">
        <color theme="0" tint="-0.24994659260841701"/>
      </top>
      <bottom style="thin">
        <color theme="0" tint="-0.34998626667073579"/>
      </bottom>
      <diagonal/>
    </border>
    <border>
      <left/>
      <right/>
      <top style="thin">
        <color theme="1" tint="0.499984740745262"/>
      </top>
      <bottom/>
      <diagonal/>
    </border>
    <border>
      <left style="thin">
        <color theme="0" tint="-0.34998626667073579"/>
      </left>
      <right style="thin">
        <color theme="0" tint="-0.34998626667073579"/>
      </right>
      <top style="thin">
        <color theme="0" tint="-0.249977111117893"/>
      </top>
      <bottom style="thin">
        <color theme="0" tint="-0.249977111117893"/>
      </bottom>
      <diagonal/>
    </border>
    <border>
      <left style="thin">
        <color theme="0" tint="-0.34998626667073579"/>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249977111117893"/>
      </bottom>
      <diagonal/>
    </border>
    <border>
      <left style="medium">
        <color rgb="FF09597D"/>
      </left>
      <right style="medium">
        <color theme="0" tint="-0.34998626667073579"/>
      </right>
      <top style="medium">
        <color rgb="FF09597D"/>
      </top>
      <bottom style="medium">
        <color rgb="FF09597D"/>
      </bottom>
      <diagonal/>
    </border>
    <border>
      <left style="medium">
        <color theme="0" tint="-0.34998626667073579"/>
      </left>
      <right style="medium">
        <color theme="0" tint="-0.34998626667073579"/>
      </right>
      <top style="medium">
        <color rgb="FF09597D"/>
      </top>
      <bottom style="medium">
        <color rgb="FF09597D"/>
      </bottom>
      <diagonal/>
    </border>
    <border>
      <left style="medium">
        <color theme="0" tint="-0.34998626667073579"/>
      </left>
      <right style="medium">
        <color rgb="FF09597D"/>
      </right>
      <top style="medium">
        <color rgb="FF09597D"/>
      </top>
      <bottom style="medium">
        <color rgb="FF09597D"/>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
      <left/>
      <right/>
      <top style="thin">
        <color theme="0" tint="-0.24994659260841701"/>
      </top>
      <bottom/>
      <diagonal/>
    </border>
    <border>
      <left/>
      <right style="thin">
        <color theme="0"/>
      </right>
      <top/>
      <bottom/>
      <diagonal/>
    </border>
    <border>
      <left style="thin">
        <color theme="0"/>
      </left>
      <right style="thin">
        <color theme="0"/>
      </right>
      <top style="thin">
        <color theme="0" tint="-0.24994659260841701"/>
      </top>
      <bottom style="thin">
        <color theme="0"/>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34998626667073579"/>
      </bottom>
      <diagonal/>
    </border>
    <border>
      <left/>
      <right/>
      <top style="thin">
        <color theme="0" tint="-0.34998626667073579"/>
      </top>
      <bottom style="thin">
        <color theme="0"/>
      </bottom>
      <diagonal/>
    </border>
    <border>
      <left style="medium">
        <color rgb="FF09597D"/>
      </left>
      <right style="medium">
        <color rgb="FF09597D"/>
      </right>
      <top style="medium">
        <color rgb="FF09597D"/>
      </top>
      <bottom style="medium">
        <color rgb="FF09597D"/>
      </bottom>
      <diagonal/>
    </border>
    <border>
      <left/>
      <right style="thin">
        <color theme="0" tint="-0.34998626667073579"/>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right style="thin">
        <color theme="0" tint="-0.34998626667073579"/>
      </right>
      <top style="thin">
        <color theme="0" tint="-0.34998626667073579"/>
      </top>
      <bottom style="thin">
        <color theme="0" tint="-0.249977111117893"/>
      </bottom>
      <diagonal/>
    </border>
  </borders>
  <cellStyleXfs count="46">
    <xf numFmtId="0" fontId="0" fillId="0" borderId="0">
      <alignment vertical="center"/>
    </xf>
    <xf numFmtId="0" fontId="27" fillId="13" borderId="0"/>
    <xf numFmtId="0" fontId="14" fillId="10" borderId="3">
      <alignment horizontal="left" vertical="center" wrapText="1"/>
    </xf>
    <xf numFmtId="0" fontId="28" fillId="11" borderId="15">
      <alignment vertical="center"/>
    </xf>
    <xf numFmtId="0" fontId="13" fillId="0" borderId="1" applyBorder="0">
      <alignment horizontal="left" vertical="center"/>
    </xf>
    <xf numFmtId="0" fontId="78" fillId="0" borderId="0" applyNumberFormat="0" applyFill="0" applyBorder="0" applyAlignment="0" applyProtection="0">
      <alignment vertical="center"/>
    </xf>
    <xf numFmtId="0" fontId="4" fillId="3" borderId="2">
      <alignment horizontal="center" vertical="center"/>
    </xf>
    <xf numFmtId="0" fontId="3" fillId="0" borderId="3">
      <alignment horizontal="left" vertical="center" wrapText="1" indent="1"/>
      <protection locked="0"/>
    </xf>
    <xf numFmtId="0" fontId="20" fillId="0" borderId="0" applyNumberFormat="0" applyFill="0" applyBorder="0" applyAlignment="0" applyProtection="0"/>
    <xf numFmtId="0" fontId="11" fillId="8" borderId="0">
      <alignment vertical="top"/>
    </xf>
    <xf numFmtId="0" fontId="7" fillId="0" borderId="0" applyNumberFormat="0" applyFill="0" applyAlignment="0" applyProtection="0"/>
    <xf numFmtId="0" fontId="10" fillId="0" borderId="0" applyNumberFormat="0" applyFill="0" applyBorder="0" applyAlignment="0" applyProtection="0">
      <alignment vertical="center"/>
    </xf>
    <xf numFmtId="43" fontId="16" fillId="0" borderId="0" applyFont="0" applyFill="0" applyBorder="0" applyAlignment="0" applyProtection="0"/>
    <xf numFmtId="0" fontId="17" fillId="8" borderId="0"/>
    <xf numFmtId="0" fontId="19" fillId="0" borderId="29">
      <alignment horizontal="left" vertical="top" wrapText="1"/>
    </xf>
    <xf numFmtId="0" fontId="12" fillId="0" borderId="0">
      <alignment vertical="center"/>
    </xf>
    <xf numFmtId="0" fontId="11" fillId="0" borderId="4" applyBorder="0">
      <alignment horizontal="left" vertical="center" wrapText="1"/>
    </xf>
    <xf numFmtId="0" fontId="14" fillId="10" borderId="14">
      <alignment horizontal="left" wrapText="1"/>
    </xf>
    <xf numFmtId="0" fontId="14" fillId="10" borderId="17">
      <alignment horizontal="left" vertical="center" wrapText="1"/>
    </xf>
    <xf numFmtId="0" fontId="18" fillId="0" borderId="0">
      <alignment horizontal="left" vertical="center" wrapText="1"/>
    </xf>
    <xf numFmtId="0" fontId="25" fillId="11" borderId="23">
      <alignment vertical="center"/>
    </xf>
    <xf numFmtId="0" fontId="24" fillId="11" borderId="31">
      <alignment vertical="center"/>
    </xf>
    <xf numFmtId="0" fontId="9" fillId="9" borderId="0">
      <alignment horizontal="left" indent="5"/>
    </xf>
    <xf numFmtId="0" fontId="23" fillId="11" borderId="3">
      <alignment horizontal="center" vertical="center" wrapText="1"/>
      <protection locked="0"/>
    </xf>
    <xf numFmtId="0" fontId="23" fillId="11" borderId="3">
      <alignment horizontal="left" vertical="center" wrapText="1" indent="1"/>
      <protection locked="0"/>
    </xf>
    <xf numFmtId="0" fontId="26" fillId="0" borderId="30">
      <alignment horizontal="left" vertical="center" wrapText="1" indent="1"/>
      <protection locked="0"/>
    </xf>
    <xf numFmtId="0" fontId="15" fillId="9" borderId="22" applyBorder="0" applyAlignment="0">
      <alignment horizontal="left" vertical="center" wrapText="1"/>
    </xf>
    <xf numFmtId="0" fontId="29" fillId="0" borderId="25" applyBorder="0" applyProtection="0">
      <alignment horizontal="left" vertical="center" indent="2"/>
    </xf>
    <xf numFmtId="0" fontId="15" fillId="9" borderId="45">
      <alignment horizontal="left" vertical="center" wrapText="1"/>
    </xf>
    <xf numFmtId="0" fontId="23" fillId="11" borderId="3" applyAlignment="0">
      <alignment horizontal="left" vertical="center" wrapText="1"/>
    </xf>
    <xf numFmtId="0" fontId="23" fillId="11" borderId="3">
      <alignment horizontal="center" vertical="center" wrapText="1"/>
    </xf>
    <xf numFmtId="0" fontId="8" fillId="14" borderId="0"/>
    <xf numFmtId="0" fontId="12" fillId="0" borderId="0">
      <alignment horizontal="left" vertical="center" indent="5"/>
    </xf>
    <xf numFmtId="0" fontId="30" fillId="2" borderId="7">
      <alignment horizontal="left" vertical="center" indent="5"/>
    </xf>
    <xf numFmtId="0" fontId="21" fillId="0" borderId="0">
      <alignment horizontal="left" vertical="center" indent="5"/>
    </xf>
    <xf numFmtId="0" fontId="31" fillId="2" borderId="3">
      <alignment vertical="center"/>
    </xf>
    <xf numFmtId="0" fontId="28" fillId="0" borderId="0">
      <alignment horizontal="left" vertical="center" wrapText="1" indent="5"/>
    </xf>
    <xf numFmtId="0" fontId="31" fillId="2" borderId="47">
      <alignment vertical="center"/>
    </xf>
    <xf numFmtId="0" fontId="14" fillId="10" borderId="16">
      <alignment horizontal="left" wrapText="1"/>
    </xf>
    <xf numFmtId="0" fontId="11" fillId="8" borderId="0">
      <alignment vertical="center"/>
    </xf>
    <xf numFmtId="0" fontId="2" fillId="0" borderId="0"/>
    <xf numFmtId="0" fontId="32" fillId="15" borderId="18"/>
    <xf numFmtId="0" fontId="32" fillId="16" borderId="18">
      <alignment horizontal="left" vertical="center"/>
    </xf>
    <xf numFmtId="0" fontId="1" fillId="0" borderId="0"/>
    <xf numFmtId="0" fontId="8" fillId="14" borderId="0"/>
    <xf numFmtId="0" fontId="1" fillId="0" borderId="0"/>
  </cellStyleXfs>
  <cellXfs count="413">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5"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12" fillId="0" borderId="0" xfId="15">
      <alignment vertical="center"/>
    </xf>
    <xf numFmtId="0" fontId="22" fillId="12" borderId="0" xfId="0" applyFont="1" applyFill="1" applyAlignment="1">
      <alignment vertical="center" wrapText="1"/>
    </xf>
    <xf numFmtId="0" fontId="0" fillId="0" borderId="0" xfId="0" applyAlignment="1">
      <alignment horizontal="left" vertical="center" wrapText="1"/>
    </xf>
    <xf numFmtId="0" fontId="22" fillId="12" borderId="0" xfId="0" applyFont="1" applyFill="1" applyAlignment="1">
      <alignment vertical="center"/>
    </xf>
    <xf numFmtId="0" fontId="22" fillId="12" borderId="0" xfId="0" applyFont="1" applyFill="1" applyAlignment="1">
      <alignment horizontal="left" vertical="center"/>
    </xf>
    <xf numFmtId="0" fontId="22" fillId="12" borderId="0" xfId="15" applyFont="1" applyFill="1">
      <alignment vertical="center"/>
    </xf>
    <xf numFmtId="0" fontId="0" fillId="0" borderId="0" xfId="0" applyAlignment="1"/>
    <xf numFmtId="0" fontId="22" fillId="12" borderId="0" xfId="0" applyFont="1" applyFill="1">
      <alignment vertical="center"/>
    </xf>
    <xf numFmtId="0" fontId="22" fillId="12" borderId="0" xfId="0" applyFont="1" applyFill="1" applyAlignment="1"/>
    <xf numFmtId="0" fontId="0" fillId="0" borderId="0" xfId="0">
      <alignment vertical="center"/>
    </xf>
    <xf numFmtId="0" fontId="0" fillId="0" borderId="0" xfId="0" applyAlignment="1">
      <alignment vertical="center"/>
    </xf>
    <xf numFmtId="0" fontId="12" fillId="0" borderId="0" xfId="15" applyBorder="1">
      <alignment vertical="center"/>
    </xf>
    <xf numFmtId="0" fontId="12" fillId="4" borderId="0" xfId="15" applyFill="1" applyBorder="1">
      <alignment vertical="center"/>
    </xf>
    <xf numFmtId="0" fontId="33" fillId="5" borderId="0" xfId="0" applyFont="1" applyFill="1" applyProtection="1">
      <alignment vertical="center"/>
    </xf>
    <xf numFmtId="0" fontId="33" fillId="5" borderId="0" xfId="0" applyFont="1" applyFill="1" applyAlignment="1" applyProtection="1">
      <alignment vertical="top"/>
    </xf>
    <xf numFmtId="0" fontId="33" fillId="5" borderId="0" xfId="0" applyFont="1" applyFill="1" applyAlignment="1" applyProtection="1">
      <alignment vertical="center"/>
    </xf>
    <xf numFmtId="0" fontId="33" fillId="5" borderId="0" xfId="0" applyFont="1" applyFill="1" applyAlignment="1" applyProtection="1">
      <alignment vertical="center" wrapText="1"/>
    </xf>
    <xf numFmtId="0" fontId="33" fillId="5" borderId="0" xfId="0" applyFont="1" applyFill="1" applyAlignment="1" applyProtection="1"/>
    <xf numFmtId="0" fontId="33" fillId="5" borderId="0" xfId="0" applyFont="1" applyFill="1" applyBorder="1" applyProtection="1">
      <alignment vertical="center"/>
    </xf>
    <xf numFmtId="0" fontId="34" fillId="5" borderId="0" xfId="15" applyFont="1" applyFill="1">
      <alignment vertical="center"/>
    </xf>
    <xf numFmtId="0" fontId="33" fillId="5" borderId="0" xfId="0" applyFont="1" applyFill="1">
      <alignment vertical="center"/>
    </xf>
    <xf numFmtId="0" fontId="34" fillId="5" borderId="0" xfId="15" applyFont="1" applyFill="1" applyAlignment="1"/>
    <xf numFmtId="0" fontId="34" fillId="5" borderId="0" xfId="15" applyFont="1" applyFill="1" applyAlignment="1">
      <alignment vertical="top"/>
    </xf>
    <xf numFmtId="0" fontId="35" fillId="5" borderId="0" xfId="0" applyFont="1" applyFill="1">
      <alignment vertical="center"/>
    </xf>
    <xf numFmtId="0" fontId="36" fillId="5" borderId="0" xfId="0" applyFont="1" applyFill="1" applyProtection="1">
      <alignment vertical="center"/>
    </xf>
    <xf numFmtId="0" fontId="33" fillId="5" borderId="0" xfId="0" applyFont="1" applyFill="1" applyAlignment="1" applyProtection="1">
      <alignment horizontal="left" vertical="top"/>
    </xf>
    <xf numFmtId="0" fontId="38" fillId="4" borderId="0" xfId="0" applyFont="1" applyFill="1">
      <alignment vertical="center"/>
    </xf>
    <xf numFmtId="0" fontId="0" fillId="5" borderId="0" xfId="0" applyFont="1" applyFill="1">
      <alignment vertical="center"/>
    </xf>
    <xf numFmtId="0" fontId="37" fillId="17" borderId="0" xfId="0" applyFont="1" applyFill="1" applyAlignment="1" applyProtection="1"/>
    <xf numFmtId="0" fontId="27" fillId="17" borderId="0" xfId="44" applyFont="1" applyFill="1" applyAlignment="1" applyProtection="1"/>
    <xf numFmtId="0" fontId="8" fillId="17" borderId="0" xfId="44" applyFont="1" applyFill="1" applyProtection="1"/>
    <xf numFmtId="0" fontId="38" fillId="0" borderId="11" xfId="0" applyFont="1" applyBorder="1" applyProtection="1">
      <alignment vertical="center"/>
    </xf>
    <xf numFmtId="0" fontId="12" fillId="0" borderId="0" xfId="32" applyFont="1" applyAlignment="1">
      <alignment vertical="center" wrapText="1"/>
    </xf>
    <xf numFmtId="0" fontId="12" fillId="0" borderId="0" xfId="32" applyFont="1" applyAlignment="1">
      <alignment horizontal="left" vertical="center" wrapText="1" indent="5"/>
    </xf>
    <xf numFmtId="0" fontId="12" fillId="0" borderId="0" xfId="32" applyFont="1">
      <alignment horizontal="left" vertical="center" indent="5"/>
    </xf>
    <xf numFmtId="0" fontId="38" fillId="0" borderId="12" xfId="0" applyFont="1" applyFill="1" applyBorder="1" applyProtection="1">
      <alignment vertical="center"/>
    </xf>
    <xf numFmtId="0" fontId="50" fillId="0" borderId="0" xfId="37" applyFont="1" applyFill="1" applyBorder="1" applyAlignment="1" applyProtection="1">
      <alignment horizontal="left" vertical="top" wrapText="1" indent="1"/>
    </xf>
    <xf numFmtId="0" fontId="43" fillId="0" borderId="0" xfId="5" applyFont="1" applyFill="1" applyBorder="1" applyAlignment="1" applyProtection="1">
      <alignment horizontal="center" vertical="center" wrapText="1"/>
    </xf>
    <xf numFmtId="0" fontId="38" fillId="0" borderId="11" xfId="0" applyFont="1" applyFill="1" applyBorder="1" applyProtection="1">
      <alignment vertical="center"/>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5" borderId="0" xfId="0" applyFont="1" applyFill="1" applyProtection="1">
      <alignment vertical="center"/>
    </xf>
    <xf numFmtId="0" fontId="27" fillId="17" borderId="0" xfId="31" applyFont="1" applyFill="1" applyAlignment="1" applyProtection="1"/>
    <xf numFmtId="0" fontId="8" fillId="17" borderId="0" xfId="31" applyFont="1" applyFill="1" applyProtection="1"/>
    <xf numFmtId="0" fontId="38" fillId="0" borderId="0" xfId="0" applyFont="1" applyBorder="1" applyAlignment="1" applyProtection="1">
      <alignment vertical="center" wrapText="1"/>
    </xf>
    <xf numFmtId="0" fontId="38" fillId="0" borderId="0" xfId="0" applyFont="1" applyProtection="1">
      <alignment vertical="center"/>
    </xf>
    <xf numFmtId="0" fontId="12" fillId="0" borderId="0" xfId="32" applyFont="1" applyAlignment="1">
      <alignment horizontal="left" vertical="center" indent="5"/>
    </xf>
    <xf numFmtId="0" fontId="27" fillId="18" borderId="0" xfId="1" applyFont="1" applyFill="1"/>
    <xf numFmtId="0" fontId="8" fillId="17" borderId="0" xfId="1" applyFont="1" applyFill="1" applyAlignment="1" applyProtection="1"/>
    <xf numFmtId="0" fontId="8" fillId="17" borderId="0" xfId="1" applyFont="1" applyFill="1" applyProtection="1"/>
    <xf numFmtId="0" fontId="58" fillId="0" borderId="21" xfId="0" applyFont="1" applyBorder="1" applyAlignment="1" applyProtection="1">
      <alignment vertical="center"/>
    </xf>
    <xf numFmtId="0" fontId="59" fillId="0" borderId="21" xfId="0" applyFont="1" applyBorder="1" applyAlignment="1" applyProtection="1">
      <alignment vertical="center"/>
    </xf>
    <xf numFmtId="0" fontId="60" fillId="19" borderId="4" xfId="2" applyFont="1" applyFill="1" applyBorder="1" applyAlignment="1" applyProtection="1">
      <alignment vertical="center" wrapText="1"/>
    </xf>
    <xf numFmtId="0" fontId="40" fillId="19" borderId="6" xfId="2" applyFont="1" applyFill="1" applyBorder="1" applyAlignment="1" applyProtection="1">
      <alignment vertical="center" wrapText="1"/>
    </xf>
    <xf numFmtId="0" fontId="40" fillId="19" borderId="5" xfId="2" applyFont="1" applyFill="1" applyBorder="1" applyAlignment="1" applyProtection="1">
      <alignment vertical="center" wrapText="1"/>
    </xf>
    <xf numFmtId="0" fontId="23" fillId="11" borderId="7" xfId="3" applyFont="1" applyFill="1" applyBorder="1" applyAlignment="1" applyProtection="1">
      <alignment horizontal="left" vertical="center" wrapText="1"/>
    </xf>
    <xf numFmtId="0" fontId="23" fillId="11" borderId="8" xfId="37" applyFont="1" applyFill="1" applyBorder="1" applyAlignment="1" applyProtection="1">
      <alignment horizontal="left" vertical="center" wrapText="1"/>
    </xf>
    <xf numFmtId="0" fontId="38" fillId="0" borderId="55" xfId="0" applyFont="1" applyFill="1" applyBorder="1" applyProtection="1">
      <alignment vertical="center"/>
    </xf>
    <xf numFmtId="0" fontId="23" fillId="11" borderId="58" xfId="37" applyFont="1" applyFill="1" applyBorder="1" applyAlignment="1" applyProtection="1">
      <alignment horizontal="left" vertical="center" wrapText="1"/>
    </xf>
    <xf numFmtId="0" fontId="60" fillId="19" borderId="4" xfId="2" applyFont="1" applyFill="1" applyBorder="1" applyAlignment="1" applyProtection="1">
      <alignment vertical="center"/>
    </xf>
    <xf numFmtId="0" fontId="40" fillId="19" borderId="6" xfId="2" applyFont="1" applyFill="1" applyBorder="1" applyAlignment="1" applyProtection="1">
      <alignment vertical="center"/>
    </xf>
    <xf numFmtId="0" fontId="40" fillId="19" borderId="5" xfId="2" applyFont="1" applyFill="1" applyBorder="1" applyAlignment="1" applyProtection="1">
      <alignment vertical="center"/>
    </xf>
    <xf numFmtId="0" fontId="13" fillId="11" borderId="7" xfId="3" applyFont="1" applyFill="1" applyBorder="1" applyAlignment="1" applyProtection="1">
      <alignment horizontal="left" vertical="center" wrapText="1"/>
    </xf>
    <xf numFmtId="0" fontId="63" fillId="11" borderId="3" xfId="3" applyFont="1" applyFill="1" applyBorder="1" applyAlignment="1" applyProtection="1">
      <alignment horizontal="left" vertical="center" wrapText="1"/>
    </xf>
    <xf numFmtId="0" fontId="60" fillId="19" borderId="15" xfId="2" applyFont="1" applyFill="1" applyBorder="1" applyAlignment="1" applyProtection="1">
      <alignment vertical="center"/>
    </xf>
    <xf numFmtId="0" fontId="38" fillId="0" borderId="56" xfId="0" applyFont="1" applyFill="1" applyBorder="1" applyProtection="1">
      <alignment vertical="center"/>
    </xf>
    <xf numFmtId="0" fontId="13" fillId="11" borderId="27" xfId="3" applyFont="1" applyFill="1" applyBorder="1" applyAlignment="1" applyProtection="1">
      <alignment horizontal="left" vertical="center" wrapText="1"/>
    </xf>
    <xf numFmtId="164" fontId="26" fillId="0" borderId="40" xfId="7" applyNumberFormat="1" applyFont="1" applyBorder="1" applyProtection="1">
      <alignment horizontal="left" vertical="center" wrapText="1" indent="1"/>
      <protection locked="0"/>
    </xf>
    <xf numFmtId="164" fontId="26" fillId="0" borderId="40" xfId="7" applyNumberFormat="1" applyFont="1" applyBorder="1" applyProtection="1">
      <alignment horizontal="left" vertical="center" wrapText="1" indent="1"/>
    </xf>
    <xf numFmtId="164" fontId="26" fillId="0" borderId="35" xfId="7" applyNumberFormat="1" applyFont="1" applyBorder="1" applyProtection="1">
      <alignment horizontal="left" vertical="center" wrapText="1" indent="1"/>
    </xf>
    <xf numFmtId="0" fontId="50" fillId="0" borderId="0" xfId="3" applyFont="1" applyFill="1" applyBorder="1" applyAlignment="1" applyProtection="1">
      <alignment horizontal="left" vertical="top" wrapText="1" indent="1"/>
    </xf>
    <xf numFmtId="0" fontId="60" fillId="19" borderId="4" xfId="2" applyFont="1" applyFill="1" applyBorder="1" applyAlignment="1" applyProtection="1">
      <alignment horizontal="left" vertical="center" wrapText="1"/>
    </xf>
    <xf numFmtId="0" fontId="40" fillId="19" borderId="6" xfId="2" applyFont="1" applyFill="1" applyBorder="1" applyAlignment="1" applyProtection="1">
      <alignment horizontal="left" vertical="center" wrapText="1"/>
    </xf>
    <xf numFmtId="0" fontId="40" fillId="19" borderId="5" xfId="2" applyFont="1" applyFill="1" applyBorder="1" applyAlignment="1" applyProtection="1">
      <alignment horizontal="left" vertical="center" wrapText="1"/>
    </xf>
    <xf numFmtId="0" fontId="38" fillId="0" borderId="0" xfId="0" applyFont="1" applyFill="1" applyBorder="1" applyProtection="1">
      <alignment vertical="center"/>
    </xf>
    <xf numFmtId="0" fontId="43" fillId="7" borderId="0" xfId="6" applyFont="1" applyFill="1" applyBorder="1" applyProtection="1">
      <alignment horizontal="center" vertical="center"/>
    </xf>
    <xf numFmtId="0" fontId="66" fillId="17" borderId="0" xfId="0" applyFont="1" applyFill="1" applyAlignment="1" applyProtection="1"/>
    <xf numFmtId="0" fontId="66" fillId="17" borderId="0" xfId="0" applyFont="1" applyFill="1" applyAlignment="1" applyProtection="1">
      <alignment horizontal="center"/>
    </xf>
    <xf numFmtId="0" fontId="27" fillId="18" borderId="0" xfId="1" applyFont="1" applyFill="1" applyAlignment="1" applyProtection="1">
      <alignment vertical="center" wrapText="1"/>
    </xf>
    <xf numFmtId="0" fontId="27" fillId="18" borderId="0" xfId="1" applyFont="1" applyFill="1" applyAlignment="1" applyProtection="1">
      <alignment horizontal="center"/>
    </xf>
    <xf numFmtId="0" fontId="27" fillId="18" borderId="0" xfId="1" applyFont="1" applyFill="1" applyAlignment="1" applyProtection="1">
      <alignment horizontal="left" indent="5"/>
    </xf>
    <xf numFmtId="0" fontId="27" fillId="18" borderId="0" xfId="1" applyFont="1" applyFill="1" applyAlignment="1" applyProtection="1">
      <alignment horizontal="left" wrapText="1" indent="5"/>
    </xf>
    <xf numFmtId="0" fontId="12" fillId="0" borderId="0" xfId="0" applyFont="1" applyFill="1" applyBorder="1" applyProtection="1">
      <alignment vertical="center"/>
    </xf>
    <xf numFmtId="0" fontId="12" fillId="0" borderId="0" xfId="0" applyFont="1" applyProtection="1">
      <alignment vertical="center"/>
    </xf>
    <xf numFmtId="0" fontId="12" fillId="0" borderId="0" xfId="0" applyFont="1" applyFill="1" applyBorder="1" applyAlignment="1" applyProtection="1">
      <alignment horizontal="center" vertical="center"/>
    </xf>
    <xf numFmtId="0" fontId="48" fillId="11" borderId="15" xfId="3" applyFont="1">
      <alignment vertical="center"/>
    </xf>
    <xf numFmtId="0" fontId="63" fillId="11" borderId="24" xfId="0" applyFont="1" applyFill="1" applyBorder="1" applyAlignment="1" applyProtection="1">
      <alignment vertical="center" wrapText="1"/>
    </xf>
    <xf numFmtId="0" fontId="63" fillId="11" borderId="28" xfId="0" applyFont="1" applyFill="1" applyBorder="1" applyAlignment="1" applyProtection="1">
      <alignment vertical="center" wrapText="1"/>
    </xf>
    <xf numFmtId="0" fontId="12" fillId="4" borderId="0" xfId="0" applyFont="1" applyFill="1" applyBorder="1" applyProtection="1">
      <alignment vertical="center"/>
    </xf>
    <xf numFmtId="0" fontId="63" fillId="11" borderId="0" xfId="0" applyFont="1" applyFill="1" applyBorder="1" applyAlignment="1" applyProtection="1">
      <alignment vertical="center" wrapText="1"/>
    </xf>
    <xf numFmtId="0" fontId="63" fillId="11" borderId="36" xfId="0" applyFont="1" applyFill="1" applyBorder="1" applyAlignment="1" applyProtection="1">
      <alignment vertical="center" wrapText="1"/>
    </xf>
    <xf numFmtId="0" fontId="60" fillId="19" borderId="15" xfId="2" applyFont="1" applyFill="1" applyBorder="1" applyAlignment="1" applyProtection="1">
      <alignment horizontal="left" wrapText="1"/>
    </xf>
    <xf numFmtId="0" fontId="60" fillId="19" borderId="14" xfId="2" applyFont="1" applyFill="1" applyBorder="1" applyAlignment="1" applyProtection="1">
      <alignment horizontal="left" wrapText="1"/>
    </xf>
    <xf numFmtId="0" fontId="60" fillId="19" borderId="24" xfId="2" applyFont="1" applyFill="1" applyBorder="1" applyAlignment="1" applyProtection="1">
      <alignment horizontal="left" wrapText="1"/>
    </xf>
    <xf numFmtId="0" fontId="68" fillId="17" borderId="63" xfId="28" applyFont="1" applyFill="1" applyBorder="1">
      <alignment horizontal="left" vertical="center" wrapText="1"/>
    </xf>
    <xf numFmtId="0" fontId="68" fillId="17" borderId="64" xfId="28" applyFont="1" applyFill="1" applyBorder="1">
      <alignment horizontal="left" vertical="center" wrapText="1"/>
    </xf>
    <xf numFmtId="0" fontId="64" fillId="17" borderId="65" xfId="28" applyFont="1" applyFill="1" applyBorder="1">
      <alignment horizontal="left" vertical="center" wrapText="1"/>
    </xf>
    <xf numFmtId="0" fontId="12" fillId="4" borderId="0" xfId="0" applyFont="1" applyFill="1" applyProtection="1">
      <alignment vertical="center"/>
    </xf>
    <xf numFmtId="0" fontId="40" fillId="19" borderId="31" xfId="2" applyFont="1" applyFill="1" applyBorder="1" applyAlignment="1" applyProtection="1">
      <alignment wrapText="1"/>
    </xf>
    <xf numFmtId="0" fontId="40" fillId="19" borderId="16" xfId="2" applyFont="1" applyFill="1" applyBorder="1" applyAlignment="1" applyProtection="1">
      <alignment horizontal="left" vertical="center"/>
    </xf>
    <xf numFmtId="0" fontId="40" fillId="19" borderId="0" xfId="2" applyFont="1" applyFill="1" applyBorder="1" applyAlignment="1" applyProtection="1">
      <alignment wrapText="1"/>
    </xf>
    <xf numFmtId="0" fontId="23" fillId="11" borderId="3" xfId="29" applyFont="1" applyAlignment="1">
      <alignment horizontal="left" vertical="center" wrapText="1"/>
    </xf>
    <xf numFmtId="0" fontId="23" fillId="11" borderId="3" xfId="29" applyFont="1" applyAlignment="1">
      <alignment vertical="center" wrapText="1"/>
    </xf>
    <xf numFmtId="0" fontId="23" fillId="11" borderId="3" xfId="30" applyFont="1">
      <alignment horizontal="center" vertical="center" wrapText="1"/>
    </xf>
    <xf numFmtId="0" fontId="70" fillId="11" borderId="17" xfId="2" applyNumberFormat="1" applyFont="1" applyFill="1" applyBorder="1" applyAlignment="1" applyProtection="1">
      <alignment horizontal="center" vertical="center" wrapText="1"/>
      <protection locked="0"/>
    </xf>
    <xf numFmtId="0" fontId="23" fillId="11" borderId="17" xfId="23" applyFont="1" applyBorder="1">
      <alignment horizontal="center" vertical="center" wrapText="1"/>
      <protection locked="0"/>
    </xf>
    <xf numFmtId="0" fontId="23" fillId="11" borderId="17" xfId="24" applyFont="1" applyBorder="1" applyAlignment="1">
      <alignment horizontal="left" vertical="center" wrapText="1"/>
      <protection locked="0"/>
    </xf>
    <xf numFmtId="0" fontId="70" fillId="11" borderId="3" xfId="2" applyNumberFormat="1" applyFont="1" applyFill="1" applyBorder="1" applyAlignment="1" applyProtection="1">
      <alignment horizontal="center" vertical="center" wrapText="1"/>
      <protection locked="0"/>
    </xf>
    <xf numFmtId="0" fontId="23" fillId="11" borderId="3" xfId="23" applyFont="1">
      <alignment horizontal="center" vertical="center" wrapText="1"/>
      <protection locked="0"/>
    </xf>
    <xf numFmtId="0" fontId="23" fillId="11" borderId="3" xfId="24" applyFont="1" applyAlignment="1">
      <alignment horizontal="left" vertical="center" wrapText="1"/>
      <protection locked="0"/>
    </xf>
    <xf numFmtId="0" fontId="41" fillId="0" borderId="0" xfId="5" applyFont="1" applyProtection="1">
      <alignment vertical="center"/>
    </xf>
    <xf numFmtId="0" fontId="0" fillId="0" borderId="0" xfId="0" applyFont="1" applyProtection="1">
      <alignment vertical="center"/>
    </xf>
    <xf numFmtId="0" fontId="63" fillId="11" borderId="42" xfId="0" applyFont="1" applyFill="1" applyBorder="1" applyAlignment="1" applyProtection="1">
      <alignment vertical="center" wrapText="1"/>
    </xf>
    <xf numFmtId="0" fontId="63" fillId="11" borderId="32" xfId="0" applyFont="1" applyFill="1" applyBorder="1" applyAlignment="1" applyProtection="1">
      <alignment vertical="center" wrapText="1"/>
    </xf>
    <xf numFmtId="0" fontId="12" fillId="11" borderId="24" xfId="0" applyFont="1" applyFill="1" applyBorder="1" applyAlignment="1" applyProtection="1">
      <alignment vertical="center"/>
    </xf>
    <xf numFmtId="0" fontId="12" fillId="11" borderId="28" xfId="0" applyFont="1" applyFill="1" applyBorder="1" applyAlignment="1" applyProtection="1">
      <alignment vertical="center"/>
    </xf>
    <xf numFmtId="0" fontId="71" fillId="11" borderId="42" xfId="0" applyFont="1" applyFill="1" applyBorder="1" applyAlignment="1" applyProtection="1">
      <alignment vertical="center"/>
    </xf>
    <xf numFmtId="0" fontId="71" fillId="11" borderId="32" xfId="0" applyFont="1" applyFill="1" applyBorder="1" applyAlignment="1" applyProtection="1">
      <alignment vertical="center"/>
    </xf>
    <xf numFmtId="0" fontId="0" fillId="4" borderId="0" xfId="0" applyFont="1" applyFill="1" applyProtection="1">
      <alignment vertical="center"/>
    </xf>
    <xf numFmtId="0" fontId="12" fillId="0" borderId="0" xfId="0" applyFont="1" applyFill="1" applyBorder="1" applyAlignment="1" applyProtection="1">
      <alignment vertical="center" wrapText="1"/>
    </xf>
    <xf numFmtId="0" fontId="71" fillId="11" borderId="42" xfId="0" applyFont="1" applyFill="1" applyBorder="1" applyAlignment="1" applyProtection="1">
      <alignment vertical="center" wrapText="1"/>
    </xf>
    <xf numFmtId="0" fontId="71" fillId="11" borderId="32" xfId="0" applyFont="1" applyFill="1" applyBorder="1" applyAlignment="1" applyProtection="1">
      <alignment vertical="center" wrapText="1"/>
    </xf>
    <xf numFmtId="0" fontId="12" fillId="11" borderId="24" xfId="0" applyFont="1" applyFill="1" applyBorder="1" applyAlignment="1" applyProtection="1">
      <alignment vertical="center" wrapText="1"/>
    </xf>
    <xf numFmtId="0" fontId="12" fillId="11" borderId="28" xfId="0" applyFont="1" applyFill="1" applyBorder="1" applyAlignment="1" applyProtection="1">
      <alignment vertical="center" wrapText="1"/>
    </xf>
    <xf numFmtId="0" fontId="71" fillId="11" borderId="0" xfId="0" applyFont="1" applyFill="1" applyBorder="1" applyAlignment="1" applyProtection="1">
      <alignment vertical="center"/>
    </xf>
    <xf numFmtId="0" fontId="71" fillId="11" borderId="36" xfId="0" applyFont="1" applyFill="1" applyBorder="1" applyAlignment="1" applyProtection="1">
      <alignment vertical="center"/>
    </xf>
    <xf numFmtId="0" fontId="41" fillId="0" borderId="24" xfId="5" applyFont="1" applyBorder="1" applyProtection="1">
      <alignment vertical="center"/>
    </xf>
    <xf numFmtId="0" fontId="0" fillId="11" borderId="26" xfId="3" applyFont="1" applyBorder="1" applyAlignment="1">
      <alignment vertical="center"/>
    </xf>
    <xf numFmtId="0" fontId="0" fillId="11" borderId="49" xfId="3" applyFont="1" applyBorder="1" applyAlignment="1">
      <alignment vertical="center"/>
    </xf>
    <xf numFmtId="0" fontId="24" fillId="11" borderId="0" xfId="21" applyFont="1" applyBorder="1" applyAlignment="1">
      <alignment horizontal="left" vertical="center" wrapText="1"/>
    </xf>
    <xf numFmtId="0" fontId="24" fillId="11" borderId="33" xfId="21" applyFont="1" applyBorder="1" applyAlignment="1">
      <alignment horizontal="left" vertical="center" wrapText="1"/>
    </xf>
    <xf numFmtId="0" fontId="12" fillId="0" borderId="33" xfId="0" applyFont="1" applyFill="1" applyBorder="1" applyProtection="1">
      <alignment vertical="center"/>
    </xf>
    <xf numFmtId="0" fontId="72" fillId="11" borderId="3" xfId="2" applyNumberFormat="1" applyFont="1" applyFill="1" applyBorder="1" applyAlignment="1" applyProtection="1">
      <alignment horizontal="left" vertical="center" wrapText="1"/>
      <protection locked="0"/>
    </xf>
    <xf numFmtId="0" fontId="12" fillId="0" borderId="0" xfId="0" applyFont="1" applyBorder="1" applyProtection="1">
      <alignment vertical="center"/>
    </xf>
    <xf numFmtId="0" fontId="48" fillId="11" borderId="48" xfId="3" applyFont="1" applyBorder="1" applyAlignment="1">
      <alignment vertical="center"/>
    </xf>
    <xf numFmtId="0" fontId="12" fillId="0" borderId="0" xfId="0" applyFont="1" applyFill="1" applyBorder="1" applyAlignment="1" applyProtection="1">
      <alignment vertical="top"/>
    </xf>
    <xf numFmtId="0" fontId="47" fillId="0" borderId="0" xfId="0" applyFont="1" applyFill="1" applyBorder="1" applyAlignment="1" applyProtection="1">
      <alignment vertical="top"/>
    </xf>
    <xf numFmtId="0" fontId="12" fillId="5" borderId="0" xfId="0" applyFont="1" applyFill="1" applyProtection="1">
      <alignment vertical="center"/>
    </xf>
    <xf numFmtId="0" fontId="12" fillId="5" borderId="0" xfId="0" applyFont="1" applyFill="1" applyAlignment="1" applyProtection="1">
      <alignment horizontal="center" vertical="center"/>
    </xf>
    <xf numFmtId="0" fontId="66" fillId="17" borderId="0" xfId="15" applyFont="1" applyFill="1" applyAlignment="1">
      <alignment horizontal="left" indent="5"/>
    </xf>
    <xf numFmtId="0" fontId="8" fillId="18" borderId="0" xfId="1" applyFont="1" applyFill="1" applyAlignment="1">
      <alignment vertical="center"/>
    </xf>
    <xf numFmtId="0" fontId="8" fillId="18" borderId="0" xfId="1" applyFont="1" applyFill="1"/>
    <xf numFmtId="0" fontId="12" fillId="0" borderId="12" xfId="15" applyFont="1" applyFill="1" applyBorder="1">
      <alignment vertical="center"/>
    </xf>
    <xf numFmtId="0" fontId="12" fillId="0" borderId="0" xfId="15" applyFont="1" applyBorder="1">
      <alignment vertical="center"/>
    </xf>
    <xf numFmtId="0" fontId="12" fillId="0" borderId="0" xfId="15" applyFont="1" applyFill="1" applyBorder="1">
      <alignment vertical="center"/>
    </xf>
    <xf numFmtId="0" fontId="12" fillId="0" borderId="11" xfId="15" applyFont="1" applyFill="1" applyBorder="1">
      <alignment vertical="center"/>
    </xf>
    <xf numFmtId="0" fontId="60" fillId="19" borderId="14" xfId="17" applyFont="1" applyFill="1">
      <alignment horizontal="left" wrapText="1"/>
    </xf>
    <xf numFmtId="0" fontId="23" fillId="11" borderId="16" xfId="3" applyFont="1" applyBorder="1">
      <alignment vertical="center"/>
    </xf>
    <xf numFmtId="0" fontId="23" fillId="11" borderId="31" xfId="3" applyFont="1" applyBorder="1" applyAlignment="1">
      <alignment vertical="center"/>
    </xf>
    <xf numFmtId="0" fontId="23" fillId="11" borderId="41" xfId="3" applyFont="1" applyBorder="1" applyAlignment="1">
      <alignment vertical="center"/>
    </xf>
    <xf numFmtId="0" fontId="24" fillId="0" borderId="27" xfId="15" applyFont="1" applyFill="1" applyBorder="1">
      <alignment vertical="center"/>
    </xf>
    <xf numFmtId="0" fontId="24" fillId="0" borderId="27" xfId="15" applyFont="1" applyFill="1" applyBorder="1" applyAlignment="1">
      <alignment vertical="center"/>
    </xf>
    <xf numFmtId="0" fontId="23" fillId="11" borderId="43" xfId="3" applyFont="1" applyBorder="1">
      <alignment vertical="center"/>
    </xf>
    <xf numFmtId="0" fontId="23" fillId="11" borderId="50" xfId="3" applyFont="1" applyBorder="1" applyAlignment="1">
      <alignment vertical="center"/>
    </xf>
    <xf numFmtId="0" fontId="23" fillId="11" borderId="44" xfId="3" applyFont="1" applyBorder="1" applyAlignment="1">
      <alignment vertical="center"/>
    </xf>
    <xf numFmtId="0" fontId="23" fillId="11" borderId="60" xfId="3" applyFont="1" applyBorder="1">
      <alignment vertical="center"/>
    </xf>
    <xf numFmtId="0" fontId="23" fillId="11" borderId="60" xfId="3" applyFont="1" applyBorder="1" applyAlignment="1">
      <alignment vertical="center"/>
    </xf>
    <xf numFmtId="0" fontId="23" fillId="11" borderId="62" xfId="3" applyFont="1" applyBorder="1" applyAlignment="1">
      <alignment vertical="center"/>
    </xf>
    <xf numFmtId="0" fontId="23" fillId="11" borderId="61" xfId="3" applyFont="1" applyBorder="1">
      <alignment vertical="center"/>
    </xf>
    <xf numFmtId="0" fontId="75" fillId="0" borderId="0" xfId="15" applyFont="1" applyBorder="1" applyAlignment="1"/>
    <xf numFmtId="0" fontId="12" fillId="0" borderId="13" xfId="15" applyFont="1" applyFill="1" applyBorder="1">
      <alignment vertical="center"/>
    </xf>
    <xf numFmtId="0" fontId="12" fillId="0" borderId="0" xfId="15" applyFont="1" applyFill="1" applyBorder="1" applyAlignment="1">
      <alignment horizontal="left" vertical="center"/>
    </xf>
    <xf numFmtId="0" fontId="64" fillId="6" borderId="8" xfId="0" applyFont="1" applyFill="1" applyBorder="1" applyAlignment="1">
      <alignment horizontal="right" vertical="center"/>
    </xf>
    <xf numFmtId="0" fontId="12" fillId="0" borderId="20" xfId="15" applyFont="1" applyFill="1" applyBorder="1" applyAlignment="1">
      <alignment vertical="top"/>
    </xf>
    <xf numFmtId="0" fontId="12" fillId="0" borderId="19" xfId="15" applyFont="1" applyFill="1" applyBorder="1" applyAlignment="1">
      <alignment vertical="top"/>
    </xf>
    <xf numFmtId="0" fontId="12" fillId="5" borderId="0" xfId="15" applyFont="1" applyFill="1">
      <alignment vertical="center"/>
    </xf>
    <xf numFmtId="0" fontId="66" fillId="17" borderId="0" xfId="0" applyFont="1" applyFill="1" applyAlignment="1"/>
    <xf numFmtId="0" fontId="66" fillId="17" borderId="0" xfId="0" applyFont="1" applyFill="1" applyAlignment="1">
      <alignment horizontal="left" indent="5"/>
    </xf>
    <xf numFmtId="0" fontId="8" fillId="18" borderId="0" xfId="1" applyFont="1" applyFill="1" applyAlignment="1">
      <alignment horizontal="left" indent="5"/>
    </xf>
    <xf numFmtId="0" fontId="0" fillId="0" borderId="0" xfId="0" applyFont="1" applyFill="1" applyBorder="1">
      <alignment vertical="center"/>
    </xf>
    <xf numFmtId="0" fontId="0" fillId="0" borderId="34" xfId="0" applyFont="1" applyFill="1" applyBorder="1">
      <alignment vertical="center"/>
    </xf>
    <xf numFmtId="0" fontId="0" fillId="4" borderId="11" xfId="0" applyFont="1" applyFill="1" applyBorder="1">
      <alignment vertical="center"/>
    </xf>
    <xf numFmtId="0" fontId="0" fillId="4" borderId="0" xfId="0" applyFont="1" applyFill="1">
      <alignment vertical="center"/>
    </xf>
    <xf numFmtId="0" fontId="26" fillId="4" borderId="7" xfId="0" applyFont="1" applyFill="1" applyBorder="1" applyAlignment="1">
      <alignment vertical="top" wrapText="1"/>
    </xf>
    <xf numFmtId="0" fontId="0" fillId="4" borderId="0" xfId="0" applyFont="1" applyFill="1" applyBorder="1">
      <alignment vertical="center"/>
    </xf>
    <xf numFmtId="0" fontId="0" fillId="4" borderId="13" xfId="0" applyFont="1" applyFill="1" applyBorder="1">
      <alignment vertical="center"/>
    </xf>
    <xf numFmtId="0" fontId="47" fillId="0" borderId="38" xfId="15" applyFont="1" applyFill="1" applyBorder="1" applyAlignment="1">
      <alignment vertical="top"/>
    </xf>
    <xf numFmtId="0" fontId="27" fillId="18" borderId="0" xfId="1" applyFont="1" applyFill="1" applyAlignment="1">
      <alignment vertical="center"/>
    </xf>
    <xf numFmtId="0" fontId="12" fillId="4" borderId="0" xfId="15" applyFont="1" applyFill="1">
      <alignment vertical="center"/>
    </xf>
    <xf numFmtId="0" fontId="76" fillId="4" borderId="0" xfId="15" applyFont="1" applyFill="1">
      <alignment vertical="center"/>
    </xf>
    <xf numFmtId="0" fontId="76" fillId="4" borderId="3" xfId="15" applyFont="1" applyFill="1" applyBorder="1">
      <alignment vertical="center"/>
    </xf>
    <xf numFmtId="0" fontId="0" fillId="4" borderId="19" xfId="0" applyFont="1" applyFill="1" applyBorder="1">
      <alignment vertical="center"/>
    </xf>
    <xf numFmtId="0" fontId="8" fillId="18" borderId="0" xfId="31" applyFont="1" applyFill="1" applyAlignment="1">
      <alignment horizontal="left" vertical="center" indent="5"/>
    </xf>
    <xf numFmtId="0" fontId="8" fillId="18" borderId="0" xfId="31" applyFont="1" applyFill="1" applyAlignment="1">
      <alignment vertical="center"/>
    </xf>
    <xf numFmtId="0" fontId="8" fillId="18" borderId="0" xfId="31" applyFont="1" applyFill="1" applyAlignment="1">
      <alignment horizontal="left" indent="5"/>
    </xf>
    <xf numFmtId="0" fontId="0" fillId="4" borderId="0" xfId="0" applyFont="1" applyFill="1" applyBorder="1" applyAlignment="1">
      <alignment vertical="center"/>
    </xf>
    <xf numFmtId="0" fontId="0" fillId="4" borderId="11" xfId="0" applyFont="1" applyFill="1" applyBorder="1" applyAlignment="1">
      <alignment vertical="center"/>
    </xf>
    <xf numFmtId="14" fontId="38" fillId="0" borderId="66" xfId="0" applyNumberFormat="1" applyFont="1" applyBorder="1" applyAlignment="1" applyProtection="1">
      <alignment horizontal="left" vertical="top" wrapText="1"/>
    </xf>
    <xf numFmtId="0" fontId="38" fillId="0" borderId="67" xfId="0" applyFont="1" applyBorder="1" applyAlignment="1" applyProtection="1">
      <alignment vertical="top" wrapText="1"/>
    </xf>
    <xf numFmtId="0" fontId="38" fillId="0" borderId="68" xfId="0" applyFont="1" applyFill="1" applyBorder="1" applyAlignment="1" applyProtection="1">
      <alignment vertical="top" wrapText="1"/>
    </xf>
    <xf numFmtId="0" fontId="38" fillId="0" borderId="68" xfId="0" applyFont="1" applyBorder="1" applyAlignment="1" applyProtection="1">
      <alignment vertical="top" wrapText="1"/>
    </xf>
    <xf numFmtId="0" fontId="45" fillId="19" borderId="66" xfId="35" applyFont="1" applyFill="1" applyBorder="1" applyAlignment="1">
      <alignment horizontal="left" vertical="center" wrapText="1"/>
    </xf>
    <xf numFmtId="0" fontId="45" fillId="19" borderId="67" xfId="35" applyFont="1" applyFill="1" applyBorder="1" applyAlignment="1">
      <alignment horizontal="left" vertical="center" wrapText="1"/>
    </xf>
    <xf numFmtId="0" fontId="45" fillId="19" borderId="68" xfId="35" applyFont="1" applyFill="1" applyBorder="1" applyAlignment="1">
      <alignment horizontal="left" vertical="center" wrapText="1"/>
    </xf>
    <xf numFmtId="0" fontId="26" fillId="2" borderId="7" xfId="0" applyFont="1" applyFill="1" applyBorder="1" applyAlignment="1">
      <alignment vertical="top" wrapText="1"/>
    </xf>
    <xf numFmtId="0" fontId="76" fillId="2" borderId="3" xfId="15" applyFont="1" applyFill="1" applyBorder="1">
      <alignment vertical="center"/>
    </xf>
    <xf numFmtId="0" fontId="76" fillId="2" borderId="3" xfId="15" applyFont="1" applyFill="1" applyBorder="1" applyAlignment="1">
      <alignment vertical="center" wrapText="1"/>
    </xf>
    <xf numFmtId="0" fontId="0" fillId="4" borderId="0" xfId="0" applyFont="1" applyFill="1" applyAlignment="1">
      <alignment horizontal="left"/>
    </xf>
    <xf numFmtId="0" fontId="0" fillId="4" borderId="11" xfId="0" applyFont="1" applyFill="1" applyBorder="1" applyAlignment="1">
      <alignment horizontal="left"/>
    </xf>
    <xf numFmtId="0" fontId="33" fillId="5" borderId="0" xfId="0" applyFont="1" applyFill="1" applyAlignment="1">
      <alignment horizontal="left"/>
    </xf>
    <xf numFmtId="0" fontId="60" fillId="19" borderId="70" xfId="38" applyFont="1" applyFill="1" applyBorder="1" applyAlignment="1">
      <alignment horizontal="left" wrapText="1"/>
    </xf>
    <xf numFmtId="0" fontId="0" fillId="4" borderId="13" xfId="0" applyFont="1" applyFill="1" applyBorder="1" applyAlignment="1">
      <alignment vertical="center"/>
    </xf>
    <xf numFmtId="0" fontId="47" fillId="0" borderId="38" xfId="15" applyFont="1" applyFill="1" applyBorder="1" applyAlignment="1">
      <alignment vertical="center"/>
    </xf>
    <xf numFmtId="0" fontId="33" fillId="5" borderId="0" xfId="0" applyFont="1" applyFill="1" applyAlignment="1">
      <alignment vertical="center"/>
    </xf>
    <xf numFmtId="0" fontId="23" fillId="4" borderId="0" xfId="0" applyFont="1" applyFill="1" applyBorder="1" applyAlignment="1">
      <alignment vertical="center" wrapText="1"/>
    </xf>
    <xf numFmtId="0" fontId="33" fillId="5" borderId="0" xfId="0" applyFont="1" applyFill="1" applyBorder="1">
      <alignment vertical="center"/>
    </xf>
    <xf numFmtId="0" fontId="60" fillId="19" borderId="69" xfId="38" applyFont="1" applyFill="1" applyBorder="1" applyAlignment="1">
      <alignment horizontal="left" vertical="center" wrapText="1"/>
    </xf>
    <xf numFmtId="0" fontId="23" fillId="4" borderId="71" xfId="0" applyFont="1" applyFill="1" applyBorder="1" applyAlignment="1">
      <alignment vertical="top" wrapText="1"/>
    </xf>
    <xf numFmtId="0" fontId="28" fillId="0" borderId="73" xfId="0" applyFont="1" applyFill="1" applyBorder="1" applyAlignment="1">
      <alignment horizontal="left" vertical="center" wrapText="1"/>
    </xf>
    <xf numFmtId="0" fontId="0" fillId="0" borderId="73" xfId="0" applyFont="1" applyBorder="1">
      <alignment vertical="center"/>
    </xf>
    <xf numFmtId="0" fontId="60" fillId="19" borderId="69" xfId="38" applyFont="1" applyFill="1" applyBorder="1" applyAlignment="1">
      <alignment horizontal="left" wrapText="1"/>
    </xf>
    <xf numFmtId="0" fontId="28" fillId="2" borderId="74" xfId="0" applyFont="1" applyFill="1" applyBorder="1" applyAlignment="1">
      <alignment horizontal="left" vertical="center"/>
    </xf>
    <xf numFmtId="0" fontId="23" fillId="2" borderId="10" xfId="0" applyFont="1" applyFill="1" applyBorder="1" applyAlignment="1">
      <alignment horizontal="left" vertical="center" wrapText="1"/>
    </xf>
    <xf numFmtId="0" fontId="28" fillId="0" borderId="74" xfId="0" applyFont="1" applyBorder="1" applyAlignment="1">
      <alignment horizontal="left" vertical="center"/>
    </xf>
    <xf numFmtId="0" fontId="23" fillId="4" borderId="10" xfId="0" applyFont="1" applyFill="1" applyBorder="1" applyAlignment="1">
      <alignment horizontal="left" vertical="center" wrapText="1"/>
    </xf>
    <xf numFmtId="0" fontId="28" fillId="0" borderId="75" xfId="0" applyFont="1" applyBorder="1" applyAlignment="1">
      <alignment horizontal="left" vertical="center"/>
    </xf>
    <xf numFmtId="0" fontId="28" fillId="0" borderId="76" xfId="0" applyFont="1" applyBorder="1" applyAlignment="1">
      <alignment vertical="center"/>
    </xf>
    <xf numFmtId="0" fontId="69" fillId="0" borderId="77" xfId="0" applyFont="1" applyBorder="1" applyAlignment="1" applyProtection="1">
      <alignment horizontal="center" vertical="center" wrapText="1"/>
      <protection locked="0"/>
    </xf>
    <xf numFmtId="0" fontId="26" fillId="0" borderId="77" xfId="25" applyFont="1" applyBorder="1" applyAlignment="1">
      <alignment horizontal="left" vertical="center" wrapText="1"/>
      <protection locked="0"/>
    </xf>
    <xf numFmtId="0" fontId="24" fillId="2" borderId="7" xfId="0" applyFont="1" applyFill="1" applyBorder="1" applyAlignment="1">
      <alignment vertical="top" wrapText="1"/>
    </xf>
    <xf numFmtId="0" fontId="24" fillId="4" borderId="7" xfId="0" applyFont="1" applyFill="1" applyBorder="1" applyAlignment="1">
      <alignment vertical="top" wrapText="1"/>
    </xf>
    <xf numFmtId="0" fontId="28" fillId="2" borderId="7" xfId="0" applyFont="1" applyFill="1" applyBorder="1" applyAlignment="1">
      <alignment vertical="top"/>
    </xf>
    <xf numFmtId="0" fontId="0" fillId="2" borderId="7" xfId="0" applyFont="1" applyFill="1" applyBorder="1" applyAlignment="1">
      <alignment vertical="top"/>
    </xf>
    <xf numFmtId="0" fontId="28" fillId="0" borderId="7" xfId="0" applyFont="1" applyBorder="1" applyAlignment="1">
      <alignment vertical="top"/>
    </xf>
    <xf numFmtId="0" fontId="0" fillId="0" borderId="7" xfId="0" applyFont="1" applyBorder="1" applyAlignment="1">
      <alignment vertical="top"/>
    </xf>
    <xf numFmtId="0" fontId="28" fillId="0" borderId="7" xfId="0" applyFont="1" applyBorder="1" applyAlignment="1">
      <alignment vertical="top" wrapText="1"/>
    </xf>
    <xf numFmtId="0" fontId="28" fillId="2" borderId="7" xfId="0" applyFont="1" applyFill="1" applyBorder="1" applyAlignment="1">
      <alignment vertical="top" wrapText="1"/>
    </xf>
    <xf numFmtId="0" fontId="28" fillId="0" borderId="7" xfId="0" applyFont="1" applyFill="1" applyBorder="1" applyAlignment="1">
      <alignment horizontal="left" vertical="top" wrapText="1"/>
    </xf>
    <xf numFmtId="0" fontId="9" fillId="17" borderId="0" xfId="0" applyFont="1" applyFill="1" applyBorder="1" applyAlignment="1">
      <alignment horizontal="left" indent="3"/>
    </xf>
    <xf numFmtId="0" fontId="27" fillId="18" borderId="0" xfId="1" applyFont="1" applyFill="1" applyAlignment="1">
      <alignment horizontal="left" indent="3"/>
    </xf>
    <xf numFmtId="0" fontId="79" fillId="0" borderId="0" xfId="32" applyFont="1" applyAlignment="1">
      <alignment vertical="top"/>
    </xf>
    <xf numFmtId="0" fontId="38" fillId="0" borderId="0" xfId="0" applyFont="1" applyAlignment="1" applyProtection="1">
      <alignment horizontal="left" vertical="top" indent="1"/>
    </xf>
    <xf numFmtId="0" fontId="79" fillId="0" borderId="0" xfId="32" applyFont="1" applyAlignment="1">
      <alignment horizontal="right" vertical="top"/>
    </xf>
    <xf numFmtId="0" fontId="12" fillId="0" borderId="0" xfId="32" applyFont="1" applyAlignment="1">
      <alignment horizontal="left" vertical="center" wrapText="1" indent="3"/>
    </xf>
    <xf numFmtId="0" fontId="12" fillId="0" borderId="0" xfId="32" applyFont="1" applyFill="1" applyAlignment="1">
      <alignment horizontal="left" vertical="center" wrapText="1" indent="3"/>
    </xf>
    <xf numFmtId="0" fontId="66" fillId="17" borderId="0" xfId="15" applyFont="1" applyFill="1" applyAlignment="1">
      <alignment horizontal="left" indent="3"/>
    </xf>
    <xf numFmtId="0" fontId="8" fillId="18" borderId="0" xfId="1" applyFont="1" applyFill="1" applyAlignment="1">
      <alignment horizontal="left" vertical="center" indent="3"/>
    </xf>
    <xf numFmtId="0" fontId="8" fillId="18" borderId="0" xfId="1" applyFont="1" applyFill="1" applyAlignment="1">
      <alignment horizontal="left" indent="3"/>
    </xf>
    <xf numFmtId="0" fontId="0" fillId="17" borderId="0" xfId="0" applyFont="1" applyFill="1" applyAlignment="1">
      <alignment horizontal="left" vertical="center" indent="3"/>
    </xf>
    <xf numFmtId="0" fontId="27" fillId="18" borderId="0" xfId="1" applyFont="1" applyFill="1" applyAlignment="1">
      <alignment horizontal="left" vertical="center" indent="3"/>
    </xf>
    <xf numFmtId="0" fontId="46" fillId="0" borderId="6" xfId="7" applyFont="1" applyBorder="1" applyAlignment="1" applyProtection="1">
      <alignment horizontal="left" vertical="center" wrapText="1"/>
    </xf>
    <xf numFmtId="0" fontId="47" fillId="0" borderId="13" xfId="0" applyFont="1" applyFill="1" applyBorder="1" applyAlignment="1" applyProtection="1">
      <alignment horizontal="centerContinuous" vertical="top"/>
    </xf>
    <xf numFmtId="0" fontId="60" fillId="19" borderId="6" xfId="2" applyFont="1" applyFill="1" applyBorder="1" applyAlignment="1" applyProtection="1">
      <alignment vertical="center"/>
    </xf>
    <xf numFmtId="0" fontId="60" fillId="19" borderId="5" xfId="2" applyFont="1" applyFill="1" applyBorder="1" applyAlignment="1" applyProtection="1">
      <alignment vertical="center"/>
    </xf>
    <xf numFmtId="0" fontId="47" fillId="0" borderId="0" xfId="0" applyFont="1" applyFill="1" applyBorder="1" applyAlignment="1" applyProtection="1">
      <alignment horizontal="centerContinuous" vertical="top"/>
    </xf>
    <xf numFmtId="0" fontId="47" fillId="0" borderId="13" xfId="15" applyFont="1" applyFill="1" applyBorder="1" applyAlignment="1">
      <alignment horizontal="centerContinuous" vertical="top"/>
    </xf>
    <xf numFmtId="0" fontId="47" fillId="0" borderId="9" xfId="15" applyFont="1" applyFill="1" applyBorder="1" applyAlignment="1">
      <alignment horizontal="centerContinuous" vertical="top"/>
    </xf>
    <xf numFmtId="0" fontId="77" fillId="0" borderId="39" xfId="15" applyFont="1" applyFill="1" applyBorder="1" applyAlignment="1">
      <alignment horizontal="centerContinuous" vertical="center"/>
    </xf>
    <xf numFmtId="0" fontId="47" fillId="0" borderId="72" xfId="15" applyFont="1" applyFill="1" applyBorder="1" applyAlignment="1">
      <alignment horizontal="centerContinuous" vertical="center"/>
    </xf>
    <xf numFmtId="0" fontId="47" fillId="0" borderId="54" xfId="15" applyFont="1" applyFill="1" applyBorder="1" applyAlignment="1">
      <alignment horizontal="centerContinuous" vertical="top"/>
    </xf>
    <xf numFmtId="0" fontId="12" fillId="0" borderId="59" xfId="32" applyFont="1" applyBorder="1" applyAlignment="1">
      <alignment horizontal="left" vertical="center" indent="3"/>
    </xf>
    <xf numFmtId="0" fontId="0" fillId="0" borderId="0" xfId="32" applyFont="1" applyAlignment="1">
      <alignment horizontal="left" vertical="center" indent="3"/>
    </xf>
    <xf numFmtId="0" fontId="12" fillId="0" borderId="0" xfId="32" applyFont="1" applyAlignment="1">
      <alignment horizontal="left" vertical="center" indent="3"/>
    </xf>
    <xf numFmtId="0" fontId="38" fillId="0" borderId="0" xfId="0" applyFont="1" applyBorder="1" applyAlignment="1" applyProtection="1">
      <alignment vertical="center"/>
    </xf>
    <xf numFmtId="0" fontId="58" fillId="0" borderId="21" xfId="3" applyFont="1" applyFill="1" applyBorder="1" applyAlignment="1" applyProtection="1">
      <alignment vertical="center"/>
    </xf>
    <xf numFmtId="0" fontId="0" fillId="11" borderId="31" xfId="21" applyFont="1" applyAlignment="1">
      <alignment vertical="center"/>
    </xf>
    <xf numFmtId="0" fontId="0" fillId="11" borderId="0" xfId="21" applyFont="1" applyBorder="1" applyAlignment="1">
      <alignment vertical="center"/>
    </xf>
    <xf numFmtId="0" fontId="48" fillId="11" borderId="15" xfId="3" applyFont="1" applyAlignment="1">
      <alignment vertical="top"/>
    </xf>
    <xf numFmtId="0" fontId="48" fillId="11" borderId="24" xfId="3" applyFont="1" applyBorder="1" applyAlignment="1">
      <alignment vertical="top"/>
    </xf>
    <xf numFmtId="0" fontId="24" fillId="0" borderId="0" xfId="36" applyFont="1" applyAlignment="1">
      <alignment horizontal="left" vertical="center" indent="3"/>
    </xf>
    <xf numFmtId="0" fontId="12" fillId="0" borderId="0" xfId="32" applyFont="1" applyAlignment="1">
      <alignment horizontal="left" vertical="top" indent="3"/>
    </xf>
    <xf numFmtId="0" fontId="12" fillId="0" borderId="0" xfId="32" applyFont="1" applyAlignment="1">
      <alignment horizontal="left" vertical="center"/>
    </xf>
    <xf numFmtId="164" fontId="26" fillId="0" borderId="81" xfId="7" applyNumberFormat="1" applyFont="1" applyBorder="1" applyProtection="1">
      <alignment horizontal="left" vertical="center" wrapText="1" indent="1"/>
    </xf>
    <xf numFmtId="0" fontId="0" fillId="11" borderId="31" xfId="20" applyFont="1" applyBorder="1" applyAlignment="1">
      <alignment vertical="center"/>
    </xf>
    <xf numFmtId="0" fontId="24" fillId="11" borderId="0" xfId="20" applyFont="1" applyBorder="1" applyAlignment="1">
      <alignment vertical="center"/>
    </xf>
    <xf numFmtId="0" fontId="0" fillId="11" borderId="0" xfId="20" applyFont="1" applyBorder="1" applyAlignment="1">
      <alignment vertical="center"/>
    </xf>
    <xf numFmtId="0" fontId="0" fillId="11" borderId="0" xfId="20" applyFont="1" applyBorder="1" applyAlignment="1">
      <alignment vertical="top"/>
    </xf>
    <xf numFmtId="0" fontId="71" fillId="11" borderId="42" xfId="0" applyFont="1" applyFill="1" applyBorder="1" applyAlignment="1" applyProtection="1">
      <alignment vertical="top"/>
    </xf>
    <xf numFmtId="0" fontId="71" fillId="11" borderId="32" xfId="0" applyFont="1" applyFill="1" applyBorder="1" applyAlignment="1" applyProtection="1">
      <alignment vertical="top"/>
    </xf>
    <xf numFmtId="0" fontId="26" fillId="0" borderId="9" xfId="0" applyFont="1" applyFill="1" applyBorder="1" applyAlignment="1">
      <alignment horizontal="left" vertical="center" indent="1"/>
    </xf>
    <xf numFmtId="0" fontId="26" fillId="0" borderId="37" xfId="0" applyFont="1" applyFill="1" applyBorder="1" applyAlignment="1">
      <alignment horizontal="left" vertical="center" indent="1"/>
    </xf>
    <xf numFmtId="0" fontId="80" fillId="0" borderId="0" xfId="0" applyFont="1" applyFill="1" applyBorder="1" applyAlignment="1">
      <alignment horizontal="centerContinuous" vertical="center"/>
    </xf>
    <xf numFmtId="0" fontId="80" fillId="0" borderId="13" xfId="0" applyFont="1" applyFill="1" applyBorder="1" applyAlignment="1" applyProtection="1">
      <alignment horizontal="centerContinuous" vertical="top"/>
    </xf>
    <xf numFmtId="0" fontId="80" fillId="0" borderId="0" xfId="0" applyFont="1" applyFill="1" applyBorder="1" applyAlignment="1" applyProtection="1">
      <alignment horizontal="centerContinuous" vertical="top"/>
    </xf>
    <xf numFmtId="0" fontId="80" fillId="0" borderId="13" xfId="15" applyFont="1" applyFill="1" applyBorder="1" applyAlignment="1">
      <alignment horizontal="centerContinuous" vertical="top"/>
    </xf>
    <xf numFmtId="0" fontId="80" fillId="0" borderId="9" xfId="15" applyFont="1" applyFill="1" applyBorder="1" applyAlignment="1">
      <alignment horizontal="centerContinuous" vertical="center"/>
    </xf>
    <xf numFmtId="0" fontId="73" fillId="0" borderId="39" xfId="15" applyFont="1" applyFill="1" applyBorder="1" applyAlignment="1">
      <alignment horizontal="centerContinuous" vertical="center"/>
    </xf>
    <xf numFmtId="0" fontId="80" fillId="0" borderId="0" xfId="15" applyFont="1" applyFill="1" applyBorder="1" applyAlignment="1">
      <alignment horizontal="centerContinuous" vertical="center"/>
    </xf>
    <xf numFmtId="0" fontId="12" fillId="11" borderId="0" xfId="32" applyFont="1" applyFill="1" applyAlignment="1">
      <alignment horizontal="left" vertical="center" indent="5"/>
    </xf>
    <xf numFmtId="0" fontId="38" fillId="11" borderId="11" xfId="0" applyFont="1" applyFill="1" applyBorder="1" applyProtection="1">
      <alignment vertical="center"/>
    </xf>
    <xf numFmtId="14" fontId="38" fillId="11" borderId="66" xfId="0" applyNumberFormat="1" applyFont="1" applyFill="1" applyBorder="1" applyAlignment="1" applyProtection="1">
      <alignment horizontal="left" vertical="top" wrapText="1"/>
    </xf>
    <xf numFmtId="0" fontId="38" fillId="11" borderId="67" xfId="0" applyFont="1" applyFill="1" applyBorder="1" applyAlignment="1" applyProtection="1">
      <alignment vertical="top" wrapText="1"/>
    </xf>
    <xf numFmtId="0" fontId="38" fillId="11" borderId="68" xfId="0" applyFont="1" applyFill="1" applyBorder="1" applyAlignment="1" applyProtection="1">
      <alignment vertical="top" wrapText="1"/>
    </xf>
    <xf numFmtId="0" fontId="52" fillId="11" borderId="46" xfId="33" applyFont="1" applyFill="1" applyBorder="1" applyAlignment="1">
      <alignment horizontal="left" vertical="center" indent="3"/>
    </xf>
    <xf numFmtId="0" fontId="52" fillId="11" borderId="53" xfId="33" applyFont="1" applyFill="1" applyBorder="1" applyAlignment="1">
      <alignment horizontal="left" vertical="center" indent="3"/>
    </xf>
    <xf numFmtId="0" fontId="79" fillId="0" borderId="0" xfId="32" applyFont="1" applyAlignment="1">
      <alignment horizontal="left" vertical="center" indent="4"/>
    </xf>
    <xf numFmtId="0" fontId="53" fillId="11" borderId="0" xfId="0" applyFont="1" applyFill="1" applyBorder="1" applyAlignment="1" applyProtection="1"/>
    <xf numFmtId="0" fontId="53" fillId="11" borderId="11" xfId="0" applyFont="1" applyFill="1" applyBorder="1" applyAlignment="1" applyProtection="1"/>
    <xf numFmtId="0" fontId="56" fillId="11" borderId="0" xfId="0" applyFont="1" applyFill="1" applyBorder="1" applyAlignment="1" applyProtection="1">
      <alignment horizontal="left" vertical="center" indent="1"/>
    </xf>
    <xf numFmtId="0" fontId="56" fillId="11" borderId="11" xfId="0" applyFont="1" applyFill="1" applyBorder="1" applyProtection="1">
      <alignment vertical="center"/>
    </xf>
    <xf numFmtId="0" fontId="43" fillId="11" borderId="0" xfId="5" applyFont="1" applyFill="1" applyBorder="1" applyAlignment="1" applyProtection="1">
      <alignment vertical="center"/>
    </xf>
    <xf numFmtId="0" fontId="56" fillId="11" borderId="0" xfId="0" applyFont="1" applyFill="1" applyBorder="1" applyAlignment="1" applyProtection="1">
      <alignment horizontal="left" vertical="top" indent="1"/>
    </xf>
    <xf numFmtId="0" fontId="56" fillId="11" borderId="11" xfId="0" applyFont="1" applyFill="1" applyBorder="1" applyAlignment="1" applyProtection="1">
      <alignment vertical="top"/>
    </xf>
    <xf numFmtId="0" fontId="43" fillId="11" borderId="0" xfId="5" applyFont="1" applyFill="1" applyBorder="1" applyAlignment="1" applyProtection="1">
      <alignment horizontal="left" indent="3"/>
    </xf>
    <xf numFmtId="0" fontId="13" fillId="11" borderId="0" xfId="4" applyFont="1" applyFill="1" applyBorder="1" applyProtection="1">
      <alignment horizontal="left" vertical="center"/>
    </xf>
    <xf numFmtId="0" fontId="67" fillId="11" borderId="0" xfId="0" applyFont="1" applyFill="1" applyBorder="1" applyAlignment="1" applyProtection="1"/>
    <xf numFmtId="0" fontId="67" fillId="11" borderId="0" xfId="0" applyFont="1" applyFill="1" applyBorder="1" applyAlignment="1" applyProtection="1">
      <alignment horizontal="center"/>
    </xf>
    <xf numFmtId="0" fontId="0" fillId="11" borderId="0" xfId="0" applyFont="1" applyFill="1" applyBorder="1" applyAlignment="1" applyProtection="1">
      <alignment vertical="center"/>
    </xf>
    <xf numFmtId="0" fontId="0" fillId="11" borderId="0" xfId="0" applyFont="1" applyFill="1" applyBorder="1" applyProtection="1">
      <alignment vertical="center"/>
    </xf>
    <xf numFmtId="0" fontId="0" fillId="11" borderId="0" xfId="0" applyFont="1" applyFill="1" applyBorder="1" applyAlignment="1" applyProtection="1">
      <alignment vertical="top"/>
    </xf>
    <xf numFmtId="0" fontId="0" fillId="11" borderId="0" xfId="0" applyFont="1" applyFill="1" applyAlignment="1" applyProtection="1">
      <alignment vertical="top"/>
    </xf>
    <xf numFmtId="0" fontId="49" fillId="11" borderId="0" xfId="4" applyFont="1" applyFill="1" applyBorder="1" applyAlignment="1" applyProtection="1">
      <alignment vertical="top"/>
    </xf>
    <xf numFmtId="0" fontId="49" fillId="11" borderId="0" xfId="4" applyFont="1" applyFill="1" applyBorder="1" applyAlignment="1" applyProtection="1">
      <alignment horizontal="left" vertical="top" wrapText="1"/>
    </xf>
    <xf numFmtId="0" fontId="48" fillId="11" borderId="0" xfId="0" applyFont="1" applyFill="1" applyBorder="1" applyAlignment="1" applyProtection="1">
      <alignment horizontal="left" vertical="top"/>
    </xf>
    <xf numFmtId="0" fontId="0" fillId="11" borderId="0" xfId="0" applyFont="1" applyFill="1" applyAlignment="1" applyProtection="1">
      <alignment horizontal="left" vertical="top" wrapText="1"/>
    </xf>
    <xf numFmtId="0" fontId="0" fillId="11" borderId="0" xfId="0" applyFont="1" applyFill="1" applyBorder="1" applyAlignment="1" applyProtection="1">
      <alignment horizontal="left" vertical="top"/>
    </xf>
    <xf numFmtId="0" fontId="0" fillId="11" borderId="0" xfId="9" applyFont="1" applyFill="1" applyAlignment="1">
      <alignment horizontal="left" vertical="center" indent="1"/>
    </xf>
    <xf numFmtId="0" fontId="24" fillId="11" borderId="0" xfId="15" applyFont="1" applyFill="1" applyBorder="1" applyAlignment="1">
      <alignment horizontal="left" vertical="center" indent="3"/>
    </xf>
    <xf numFmtId="0" fontId="12" fillId="11" borderId="11" xfId="15" applyFont="1" applyFill="1" applyBorder="1" applyAlignment="1"/>
    <xf numFmtId="0" fontId="24" fillId="11" borderId="0" xfId="15" applyFont="1" applyFill="1" applyBorder="1" applyAlignment="1">
      <alignment horizontal="left" vertical="top" indent="3"/>
    </xf>
    <xf numFmtId="0" fontId="0" fillId="11" borderId="0" xfId="15" applyFont="1" applyFill="1" applyBorder="1" applyAlignment="1">
      <alignment horizontal="left" vertical="top" indent="3"/>
    </xf>
    <xf numFmtId="0" fontId="12" fillId="11" borderId="11" xfId="15" applyFont="1" applyFill="1" applyBorder="1">
      <alignment vertical="center"/>
    </xf>
    <xf numFmtId="0" fontId="23" fillId="11" borderId="0" xfId="0" applyFont="1" applyFill="1" applyBorder="1" applyAlignment="1">
      <alignment horizontal="left" vertical="center" indent="3"/>
    </xf>
    <xf numFmtId="0" fontId="23" fillId="11" borderId="0" xfId="0" applyFont="1" applyFill="1" applyBorder="1" applyAlignment="1">
      <alignment vertical="center"/>
    </xf>
    <xf numFmtId="0" fontId="44" fillId="11" borderId="0" xfId="0" applyFont="1" applyFill="1" applyBorder="1" applyAlignment="1">
      <alignment vertical="center"/>
    </xf>
    <xf numFmtId="0" fontId="0" fillId="11" borderId="11" xfId="0" applyFont="1" applyFill="1" applyBorder="1">
      <alignment vertical="center"/>
    </xf>
    <xf numFmtId="0" fontId="24" fillId="11" borderId="0" xfId="15" applyFont="1" applyFill="1" applyAlignment="1">
      <alignment horizontal="left" vertical="center" indent="3"/>
    </xf>
    <xf numFmtId="0" fontId="24" fillId="11" borderId="0" xfId="15" applyFont="1" applyFill="1" applyAlignment="1">
      <alignment vertical="center" wrapText="1"/>
    </xf>
    <xf numFmtId="0" fontId="24" fillId="11" borderId="0" xfId="15" applyFont="1" applyFill="1" applyAlignment="1">
      <alignment horizontal="left" vertical="top" indent="3"/>
    </xf>
    <xf numFmtId="0" fontId="12" fillId="11" borderId="0" xfId="15" applyFont="1" applyFill="1" applyAlignment="1">
      <alignment vertical="top" wrapText="1"/>
    </xf>
    <xf numFmtId="0" fontId="24" fillId="11" borderId="0" xfId="15" applyFont="1" applyFill="1" applyAlignment="1">
      <alignment horizontal="left" vertical="top" indent="6"/>
    </xf>
    <xf numFmtId="0" fontId="24" fillId="11" borderId="0" xfId="0" applyFont="1" applyFill="1" applyBorder="1" applyAlignment="1">
      <alignment horizontal="left" vertical="center" indent="3"/>
    </xf>
    <xf numFmtId="0" fontId="0" fillId="11" borderId="0" xfId="0" applyFont="1" applyFill="1" applyBorder="1" applyAlignment="1">
      <alignment vertical="center"/>
    </xf>
    <xf numFmtId="0" fontId="81" fillId="11" borderId="0" xfId="0" applyFont="1" applyFill="1" applyBorder="1" applyAlignment="1" applyProtection="1">
      <alignment horizontal="left" indent="3"/>
    </xf>
    <xf numFmtId="0" fontId="57" fillId="11" borderId="0" xfId="5" applyFont="1" applyFill="1" applyBorder="1" applyAlignment="1" applyProtection="1">
      <alignment horizontal="left" indent="3"/>
    </xf>
    <xf numFmtId="0" fontId="48" fillId="11" borderId="0" xfId="0" applyFont="1" applyFill="1" applyBorder="1" applyAlignment="1" applyProtection="1">
      <alignment horizontal="right"/>
    </xf>
    <xf numFmtId="0" fontId="48" fillId="11" borderId="0" xfId="0" applyFont="1" applyFill="1" applyBorder="1" applyAlignment="1" applyProtection="1">
      <alignment horizontal="right" vertical="top"/>
    </xf>
    <xf numFmtId="0" fontId="48" fillId="11" borderId="0" xfId="0" applyFont="1" applyFill="1" applyBorder="1" applyAlignment="1" applyProtection="1">
      <alignment horizontal="right" vertical="center"/>
    </xf>
    <xf numFmtId="0" fontId="0" fillId="11" borderId="0" xfId="9" applyFont="1" applyFill="1" applyAlignment="1">
      <alignment horizontal="left" vertical="top" indent="1"/>
    </xf>
    <xf numFmtId="0" fontId="55" fillId="11" borderId="0" xfId="0" applyFont="1" applyFill="1" applyBorder="1" applyAlignment="1" applyProtection="1">
      <alignment horizontal="right" vertical="center"/>
    </xf>
    <xf numFmtId="0" fontId="55" fillId="11" borderId="0" xfId="0" applyFont="1" applyFill="1" applyBorder="1" applyAlignment="1" applyProtection="1">
      <alignment horizontal="right" vertical="top"/>
    </xf>
    <xf numFmtId="0" fontId="24" fillId="11" borderId="0" xfId="0" applyFont="1" applyFill="1" applyBorder="1" applyAlignment="1" applyProtection="1">
      <alignment horizontal="left" vertical="center" indent="1"/>
    </xf>
    <xf numFmtId="0" fontId="57" fillId="11" borderId="0" xfId="5" applyFont="1" applyFill="1" applyBorder="1" applyAlignment="1" applyProtection="1">
      <alignment horizontal="left" vertical="center" indent="1"/>
    </xf>
    <xf numFmtId="0" fontId="24" fillId="11" borderId="0" xfId="0" applyFont="1" applyFill="1" applyBorder="1" applyAlignment="1" applyProtection="1">
      <alignment horizontal="left" vertical="top" indent="1"/>
    </xf>
    <xf numFmtId="0" fontId="39" fillId="0" borderId="0" xfId="0" applyFont="1" applyFill="1" applyBorder="1" applyAlignment="1">
      <alignment horizontal="left" indent="3"/>
    </xf>
    <xf numFmtId="0" fontId="40" fillId="0" borderId="0" xfId="0" applyFont="1" applyFill="1" applyAlignment="1">
      <alignment horizontal="left" vertical="center" indent="3"/>
    </xf>
    <xf numFmtId="0" fontId="39" fillId="0" borderId="0" xfId="0" applyFont="1" applyFill="1" applyAlignment="1">
      <alignment horizontal="left" indent="3"/>
    </xf>
    <xf numFmtId="0" fontId="8" fillId="4" borderId="0" xfId="31" applyFont="1" applyFill="1" applyProtection="1"/>
    <xf numFmtId="0" fontId="8" fillId="4" borderId="0" xfId="31" applyFont="1" applyFill="1" applyAlignment="1" applyProtection="1">
      <alignment vertical="top"/>
    </xf>
    <xf numFmtId="0" fontId="24" fillId="4" borderId="0" xfId="31" applyFont="1" applyFill="1" applyAlignment="1" applyProtection="1">
      <alignment horizontal="left" vertical="top" indent="3"/>
    </xf>
    <xf numFmtId="0" fontId="47" fillId="0" borderId="13" xfId="0" applyFont="1" applyFill="1" applyBorder="1" applyAlignment="1" applyProtection="1">
      <alignment horizontal="centerContinuous" vertical="center"/>
    </xf>
    <xf numFmtId="0" fontId="85" fillId="0" borderId="12" xfId="0" applyFont="1" applyFill="1" applyBorder="1" applyAlignment="1" applyProtection="1">
      <alignment horizontal="left" vertical="center" indent="40"/>
    </xf>
    <xf numFmtId="0" fontId="78" fillId="0" borderId="0" xfId="5" applyFill="1" applyBorder="1" applyAlignment="1" applyProtection="1">
      <alignment horizontal="left" vertical="center" wrapText="1"/>
    </xf>
    <xf numFmtId="0" fontId="86" fillId="0" borderId="12" xfId="0" applyFont="1" applyFill="1" applyBorder="1" applyAlignment="1" applyProtection="1">
      <alignment horizontal="left" vertical="center" indent="4"/>
    </xf>
    <xf numFmtId="0" fontId="87" fillId="0" borderId="0" xfId="32" applyFont="1" applyAlignment="1">
      <alignment horizontal="left" vertical="center" indent="4"/>
    </xf>
    <xf numFmtId="0" fontId="12" fillId="0" borderId="0" xfId="32" applyFont="1" applyAlignment="1">
      <alignment horizontal="left" vertical="top"/>
    </xf>
    <xf numFmtId="0" fontId="81" fillId="0" borderId="0" xfId="32" applyFont="1" applyAlignment="1">
      <alignment horizontal="left" vertical="center" indent="3"/>
    </xf>
    <xf numFmtId="0" fontId="87" fillId="4" borderId="0" xfId="31" applyFont="1" applyFill="1" applyAlignment="1" applyProtection="1">
      <alignment horizontal="left" vertical="top" indent="3"/>
    </xf>
    <xf numFmtId="0" fontId="25" fillId="4" borderId="0" xfId="31" applyFont="1" applyFill="1" applyAlignment="1" applyProtection="1">
      <alignment horizontal="left" vertical="top" indent="3"/>
    </xf>
    <xf numFmtId="0" fontId="41" fillId="4" borderId="0" xfId="5" applyFont="1" applyFill="1" applyAlignment="1">
      <alignment horizontal="left" indent="3"/>
    </xf>
    <xf numFmtId="0" fontId="42" fillId="4" borderId="0" xfId="8" applyFont="1" applyFill="1" applyAlignment="1">
      <alignment horizontal="left" vertical="top" wrapText="1" indent="3"/>
    </xf>
    <xf numFmtId="0" fontId="42" fillId="4" borderId="0" xfId="8" applyFont="1" applyFill="1" applyAlignment="1">
      <alignment horizontal="left" vertical="center" wrapText="1" indent="3"/>
    </xf>
    <xf numFmtId="0" fontId="33" fillId="5" borderId="0" xfId="0" applyFont="1" applyFill="1" applyAlignment="1">
      <alignment horizontal="left" vertical="center" indent="3"/>
    </xf>
    <xf numFmtId="0" fontId="39" fillId="11" borderId="0" xfId="0" applyFont="1" applyFill="1" applyAlignment="1">
      <alignment horizontal="left" indent="3"/>
    </xf>
    <xf numFmtId="0" fontId="40" fillId="11" borderId="0" xfId="0" applyFont="1" applyFill="1" applyAlignment="1">
      <alignment horizontal="left" vertical="center" wrapText="1" indent="3"/>
    </xf>
    <xf numFmtId="0" fontId="40" fillId="11" borderId="0" xfId="0" applyFont="1" applyFill="1" applyAlignment="1">
      <alignment horizontal="left" vertical="top" wrapText="1" indent="3"/>
    </xf>
    <xf numFmtId="0" fontId="33" fillId="5" borderId="0" xfId="0" applyFont="1" applyFill="1" applyAlignment="1">
      <alignment vertical="top"/>
    </xf>
    <xf numFmtId="0" fontId="84" fillId="17" borderId="0" xfId="0" applyFont="1" applyFill="1" applyAlignment="1">
      <alignment horizontal="left" vertical="top" indent="3"/>
    </xf>
    <xf numFmtId="0" fontId="40" fillId="11" borderId="0" xfId="0" applyFont="1" applyFill="1" applyAlignment="1">
      <alignment horizontal="left" wrapText="1" indent="3"/>
    </xf>
    <xf numFmtId="0" fontId="33" fillId="5" borderId="0" xfId="0" applyFont="1" applyFill="1" applyAlignment="1">
      <alignment horizontal="left" indent="3"/>
    </xf>
    <xf numFmtId="0" fontId="88" fillId="18" borderId="0" xfId="1" applyFont="1" applyFill="1" applyAlignment="1">
      <alignment horizontal="left" vertical="center" indent="3"/>
    </xf>
    <xf numFmtId="0" fontId="88" fillId="17" borderId="0" xfId="44" applyFont="1" applyFill="1" applyAlignment="1" applyProtection="1">
      <alignment horizontal="left" indent="3"/>
    </xf>
    <xf numFmtId="0" fontId="88" fillId="17" borderId="0" xfId="31" applyFont="1" applyFill="1" applyAlignment="1" applyProtection="1">
      <alignment horizontal="left" indent="3"/>
    </xf>
    <xf numFmtId="0" fontId="88" fillId="18" borderId="0" xfId="1" applyFont="1" applyFill="1" applyAlignment="1">
      <alignment horizontal="left" indent="3"/>
    </xf>
    <xf numFmtId="0" fontId="88" fillId="18" borderId="0" xfId="1" applyFont="1" applyFill="1" applyAlignment="1" applyProtection="1">
      <alignment horizontal="left" vertical="center" indent="3"/>
    </xf>
    <xf numFmtId="0" fontId="88" fillId="18" borderId="0" xfId="31" applyFont="1" applyFill="1" applyAlignment="1">
      <alignment horizontal="left" vertical="center" indent="3"/>
    </xf>
    <xf numFmtId="0" fontId="13" fillId="11" borderId="14" xfId="3" applyFont="1" applyFill="1" applyBorder="1" applyAlignment="1" applyProtection="1">
      <alignment horizontal="left" vertical="top" wrapText="1"/>
    </xf>
    <xf numFmtId="14" fontId="38" fillId="0" borderId="66" xfId="0" applyNumberFormat="1" applyFont="1" applyFill="1" applyBorder="1" applyAlignment="1" applyProtection="1">
      <alignment horizontal="left" vertical="top" wrapText="1"/>
    </xf>
    <xf numFmtId="0" fontId="38" fillId="0" borderId="67" xfId="0" applyFont="1" applyFill="1" applyBorder="1" applyAlignment="1" applyProtection="1">
      <alignment vertical="top" wrapText="1"/>
    </xf>
    <xf numFmtId="0" fontId="9" fillId="0" borderId="23" xfId="7" applyFont="1" applyBorder="1" applyProtection="1">
      <alignment horizontal="left" vertical="center" wrapText="1" indent="1"/>
      <protection locked="0"/>
    </xf>
    <xf numFmtId="0" fontId="46" fillId="0" borderId="6" xfId="7" applyFont="1" applyFill="1" applyBorder="1" applyAlignment="1" applyProtection="1">
      <alignment horizontal="left" vertical="center" wrapText="1"/>
    </xf>
    <xf numFmtId="0" fontId="46" fillId="0" borderId="5" xfId="7" applyFont="1" applyFill="1" applyBorder="1" applyAlignment="1" applyProtection="1">
      <alignment horizontal="left" vertical="center" wrapText="1"/>
    </xf>
    <xf numFmtId="164" fontId="64" fillId="0" borderId="57" xfId="7" applyNumberFormat="1" applyFont="1" applyFill="1" applyBorder="1" applyProtection="1">
      <alignment horizontal="left" vertical="center" wrapText="1" indent="1"/>
      <protection locked="0"/>
    </xf>
    <xf numFmtId="0" fontId="88" fillId="17" borderId="0" xfId="31" applyFont="1" applyFill="1" applyAlignment="1" applyProtection="1">
      <alignment horizontal="left" vertical="center" indent="3"/>
    </xf>
    <xf numFmtId="14" fontId="38" fillId="11" borderId="67" xfId="0" applyNumberFormat="1" applyFont="1" applyFill="1" applyBorder="1" applyAlignment="1" applyProtection="1">
      <alignment horizontal="left" vertical="top" wrapText="1"/>
    </xf>
    <xf numFmtId="14" fontId="38" fillId="11" borderId="68" xfId="0" applyNumberFormat="1" applyFont="1" applyFill="1" applyBorder="1" applyAlignment="1" applyProtection="1">
      <alignment horizontal="left" vertical="top" wrapText="1"/>
    </xf>
    <xf numFmtId="0" fontId="12" fillId="0" borderId="0" xfId="32" applyFont="1" applyAlignment="1">
      <alignment horizontal="left" vertical="top" wrapText="1" indent="3"/>
    </xf>
    <xf numFmtId="0" fontId="12" fillId="0" borderId="0" xfId="32" applyFont="1" applyAlignment="1">
      <alignment horizontal="left" vertical="center" wrapText="1" indent="3"/>
    </xf>
    <xf numFmtId="0" fontId="41" fillId="0" borderId="0" xfId="5" applyFont="1" applyAlignment="1">
      <alignment horizontal="left" vertical="center" wrapText="1" indent="3"/>
    </xf>
    <xf numFmtId="0" fontId="12" fillId="0" borderId="59" xfId="32" applyFont="1" applyBorder="1" applyAlignment="1">
      <alignment horizontal="left" vertical="center" wrapText="1" indent="3"/>
    </xf>
    <xf numFmtId="0" fontId="12" fillId="0" borderId="59" xfId="32" applyFont="1" applyFill="1" applyBorder="1" applyAlignment="1">
      <alignment horizontal="left" vertical="center" wrapText="1" indent="3"/>
    </xf>
    <xf numFmtId="0" fontId="12" fillId="0" borderId="0" xfId="32" applyFont="1" applyFill="1" applyAlignment="1">
      <alignment horizontal="left" vertical="center" wrapText="1" indent="3"/>
    </xf>
    <xf numFmtId="0" fontId="41" fillId="0" borderId="0" xfId="5" applyFont="1" applyAlignment="1">
      <alignment horizontal="left" vertical="center" indent="3"/>
    </xf>
    <xf numFmtId="0" fontId="38" fillId="0" borderId="0" xfId="0" applyFont="1" applyAlignment="1" applyProtection="1">
      <alignment horizontal="left" vertical="top" wrapText="1" indent="1"/>
    </xf>
    <xf numFmtId="0" fontId="26" fillId="0" borderId="7" xfId="7" applyFont="1" applyBorder="1" applyAlignment="1" applyProtection="1">
      <alignment horizontal="left" vertical="center" wrapText="1"/>
      <protection locked="0"/>
    </xf>
    <xf numFmtId="0" fontId="26" fillId="0" borderId="8" xfId="7" applyFont="1" applyBorder="1" applyAlignment="1" applyProtection="1">
      <alignment horizontal="left" vertical="center" wrapText="1"/>
      <protection locked="0"/>
    </xf>
    <xf numFmtId="0" fontId="26" fillId="0" borderId="74" xfId="7" applyFont="1" applyBorder="1" applyAlignment="1" applyProtection="1">
      <alignment horizontal="left" vertical="center" wrapText="1"/>
      <protection locked="0"/>
    </xf>
    <xf numFmtId="0" fontId="26" fillId="0" borderId="9" xfId="7" applyFont="1" applyBorder="1" applyAlignment="1" applyProtection="1">
      <alignment horizontal="left" vertical="center" wrapText="1"/>
      <protection locked="0"/>
    </xf>
    <xf numFmtId="0" fontId="26" fillId="0" borderId="78" xfId="7" applyFont="1" applyBorder="1" applyAlignment="1" applyProtection="1">
      <alignment horizontal="left" vertical="center" wrapText="1"/>
      <protection locked="0"/>
    </xf>
    <xf numFmtId="0" fontId="61" fillId="0" borderId="51" xfId="7" applyFont="1" applyBorder="1" applyAlignment="1" applyProtection="1">
      <alignment horizontal="left" vertical="center" wrapText="1"/>
      <protection locked="0"/>
    </xf>
    <xf numFmtId="0" fontId="61" fillId="0" borderId="52" xfId="7" applyFont="1" applyBorder="1" applyAlignment="1" applyProtection="1">
      <alignment horizontal="left" vertical="center" wrapText="1"/>
      <protection locked="0"/>
    </xf>
    <xf numFmtId="0" fontId="61" fillId="0" borderId="79" xfId="7" applyFont="1" applyBorder="1" applyAlignment="1" applyProtection="1">
      <alignment horizontal="left" vertical="center" wrapText="1"/>
      <protection locked="0"/>
    </xf>
    <xf numFmtId="165" fontId="43" fillId="0" borderId="8" xfId="5" applyNumberFormat="1" applyFont="1" applyBorder="1" applyAlignment="1" applyProtection="1">
      <alignment horizontal="left" vertical="center" wrapText="1"/>
      <protection locked="0"/>
    </xf>
    <xf numFmtId="165" fontId="65" fillId="0" borderId="9" xfId="7" applyNumberFormat="1" applyFont="1" applyBorder="1" applyAlignment="1" applyProtection="1">
      <alignment horizontal="left" vertical="center" wrapText="1"/>
      <protection locked="0"/>
    </xf>
    <xf numFmtId="165" fontId="65" fillId="0" borderId="78" xfId="7" applyNumberFormat="1" applyFont="1" applyBorder="1" applyAlignment="1" applyProtection="1">
      <alignment horizontal="left" vertical="center" wrapText="1"/>
      <protection locked="0"/>
    </xf>
    <xf numFmtId="0" fontId="26" fillId="0" borderId="8" xfId="5" applyFont="1" applyBorder="1" applyAlignment="1" applyProtection="1">
      <alignment horizontal="left" vertical="center" wrapText="1"/>
      <protection locked="0"/>
    </xf>
    <xf numFmtId="0" fontId="61" fillId="0" borderId="9" xfId="7" applyFont="1" applyBorder="1" applyAlignment="1" applyProtection="1">
      <alignment horizontal="left" vertical="center" wrapText="1"/>
      <protection locked="0"/>
    </xf>
    <xf numFmtId="0" fontId="61" fillId="0" borderId="78" xfId="7" applyFont="1" applyBorder="1" applyAlignment="1" applyProtection="1">
      <alignment horizontal="left" vertical="center" wrapText="1"/>
      <protection locked="0"/>
    </xf>
    <xf numFmtId="165" fontId="26" fillId="0" borderId="7" xfId="7" applyNumberFormat="1" applyFont="1" applyBorder="1" applyAlignment="1" applyProtection="1">
      <alignment horizontal="left" vertical="center" wrapText="1"/>
      <protection locked="0"/>
    </xf>
    <xf numFmtId="165" fontId="26" fillId="0" borderId="8" xfId="7" applyNumberFormat="1" applyFont="1" applyBorder="1" applyAlignment="1" applyProtection="1">
      <alignment horizontal="left" vertical="center" wrapText="1"/>
      <protection locked="0"/>
    </xf>
    <xf numFmtId="165" fontId="26" fillId="0" borderId="74" xfId="7" applyNumberFormat="1" applyFont="1" applyBorder="1" applyAlignment="1" applyProtection="1">
      <alignment horizontal="left" vertical="center" wrapText="1"/>
      <protection locked="0"/>
    </xf>
    <xf numFmtId="165" fontId="43" fillId="0" borderId="80" xfId="5" applyNumberFormat="1" applyFont="1" applyBorder="1" applyAlignment="1" applyProtection="1">
      <alignment horizontal="left" vertical="center" wrapText="1"/>
      <protection locked="0"/>
    </xf>
    <xf numFmtId="165" fontId="26" fillId="0" borderId="80" xfId="7" applyNumberFormat="1" applyFont="1" applyBorder="1" applyAlignment="1" applyProtection="1">
      <alignment horizontal="left" vertical="center" wrapText="1"/>
      <protection locked="0"/>
    </xf>
    <xf numFmtId="165" fontId="26" fillId="0" borderId="51" xfId="7" applyNumberFormat="1" applyFont="1" applyBorder="1" applyAlignment="1" applyProtection="1">
      <alignment horizontal="left" vertical="center" wrapText="1"/>
      <protection locked="0"/>
    </xf>
    <xf numFmtId="165" fontId="26" fillId="0" borderId="75" xfId="7" applyNumberFormat="1" applyFont="1" applyBorder="1" applyAlignment="1" applyProtection="1">
      <alignment horizontal="left" vertical="center" wrapText="1"/>
      <protection locked="0"/>
    </xf>
    <xf numFmtId="164" fontId="26" fillId="0" borderId="3" xfId="7" applyNumberFormat="1" applyFont="1" applyBorder="1" applyProtection="1">
      <alignment horizontal="left" vertical="center" wrapText="1" indent="1"/>
      <protection locked="0"/>
    </xf>
    <xf numFmtId="0" fontId="26" fillId="0" borderId="3" xfId="7" applyFont="1" applyBorder="1" applyAlignment="1" applyProtection="1">
      <alignment horizontal="left" vertical="center" wrapText="1"/>
      <protection locked="0"/>
    </xf>
  </cellXfs>
  <cellStyles count="46">
    <cellStyle name="BackToTop" xfId="19" xr:uid="{00000000-0005-0000-0000-000000000000}"/>
    <cellStyle name="By Variable Years" xfId="27" xr:uid="{00000000-0005-0000-0000-000001000000}"/>
    <cellStyle name="By-Variable Encryption and Years" xfId="26" xr:uid="{00000000-0005-0000-0000-000002000000}"/>
    <cellStyle name="Category Name" xfId="16" xr:uid="{00000000-0005-0000-0000-000003000000}"/>
    <cellStyle name="Category Select" xfId="18" xr:uid="{00000000-0005-0000-0000-000004000000}"/>
    <cellStyle name="Category Table Header" xfId="17" xr:uid="{00000000-0005-0000-0000-000005000000}"/>
    <cellStyle name="Category Table Header 2" xfId="38" xr:uid="{00000000-0005-0000-0000-000006000000}"/>
    <cellStyle name="Comma 2" xfId="12" xr:uid="{00000000-0005-0000-0000-000007000000}"/>
    <cellStyle name="Data_Entry" xfId="7" xr:uid="{00000000-0005-0000-0000-000008000000}"/>
    <cellStyle name="Dropped" xfId="41" xr:uid="{00000000-0005-0000-0000-000009000000}"/>
    <cellStyle name="Encrypted" xfId="42" xr:uid="{00000000-0005-0000-0000-00000A000000}"/>
    <cellStyle name="Explanatory Text" xfId="8" builtinId="53" customBuiltin="1"/>
    <cellStyle name="File/Cell Name and Definition" xfId="29" xr:uid="{00000000-0005-0000-0000-00000C000000}"/>
    <cellStyle name="Followed Hyperlink" xfId="11" builtinId="9" customBuiltin="1"/>
    <cellStyle name="Form Title" xfId="1" xr:uid="{00000000-0005-0000-0000-00000E000000}"/>
    <cellStyle name="Form Title 2" xfId="31" xr:uid="{00000000-0005-0000-0000-00000F000000}"/>
    <cellStyle name="Form Title 2 2" xfId="44" xr:uid="{00000000-0005-0000-0000-000010000000}"/>
    <cellStyle name="GuidanceText" xfId="4" xr:uid="{00000000-0005-0000-0000-000011000000}"/>
    <cellStyle name="Heading 1 2" xfId="10" xr:uid="{00000000-0005-0000-0000-000012000000}"/>
    <cellStyle name="Hyperlink" xfId="5" builtinId="8" customBuiltin="1"/>
    <cellStyle name="Instructions" xfId="9" xr:uid="{00000000-0005-0000-0000-000014000000}"/>
    <cellStyle name="Instructions 2" xfId="32" xr:uid="{00000000-0005-0000-0000-000015000000}"/>
    <cellStyle name="Instructions 3" xfId="39" xr:uid="{00000000-0005-0000-0000-000016000000}"/>
    <cellStyle name="Normal" xfId="0" builtinId="0" customBuiltin="1"/>
    <cellStyle name="Normal 2" xfId="43" xr:uid="{00000000-0005-0000-0000-000018000000}"/>
    <cellStyle name="Normal 2 5" xfId="40" xr:uid="{00000000-0005-0000-0000-000019000000}"/>
    <cellStyle name="Normal 2 5 2" xfId="45" xr:uid="{00000000-0005-0000-0000-00001A000000}"/>
    <cellStyle name="Normal 5" xfId="15" xr:uid="{00000000-0005-0000-0000-00001B000000}"/>
    <cellStyle name="Note - Instructions" xfId="20" xr:uid="{00000000-0005-0000-0000-00001C000000}"/>
    <cellStyle name="Request Auto Justification" xfId="24" xr:uid="{00000000-0005-0000-0000-00001D000000}"/>
    <cellStyle name="Request Form Field Label" xfId="28" xr:uid="{00000000-0005-0000-0000-00001E000000}"/>
    <cellStyle name="Request Form Type" xfId="22" xr:uid="{00000000-0005-0000-0000-00001F000000}"/>
    <cellStyle name="Request Justification" xfId="25" xr:uid="{00000000-0005-0000-0000-000020000000}"/>
    <cellStyle name="RowHeader1" xfId="37" xr:uid="{00000000-0005-0000-0000-000021000000}"/>
    <cellStyle name="Section Description" xfId="21" xr:uid="{00000000-0005-0000-0000-000022000000}"/>
    <cellStyle name="Section Heading" xfId="33" xr:uid="{00000000-0005-0000-0000-000023000000}"/>
    <cellStyle name="Section Heading Level 2" xfId="34" xr:uid="{00000000-0005-0000-0000-000024000000}"/>
    <cellStyle name="SectionHeader" xfId="3" xr:uid="{00000000-0005-0000-0000-000025000000}"/>
    <cellStyle name="Selection Cell" xfId="23" xr:uid="{00000000-0005-0000-0000-000026000000}"/>
    <cellStyle name="Strong" xfId="36" xr:uid="{00000000-0005-0000-0000-000027000000}"/>
    <cellStyle name="Style 2" xfId="6" xr:uid="{00000000-0005-0000-0000-000028000000}"/>
    <cellStyle name="TableHeader" xfId="35" xr:uid="{00000000-0005-0000-0000-000029000000}"/>
    <cellStyle name="TableHeader1" xfId="2" xr:uid="{00000000-0005-0000-0000-00002A000000}"/>
    <cellStyle name="TOC" xfId="13" xr:uid="{00000000-0005-0000-0000-00002B000000}"/>
    <cellStyle name="Variable List Header" xfId="14" xr:uid="{00000000-0005-0000-0000-00002C000000}"/>
    <cellStyle name="Years Available" xfId="30" xr:uid="{00000000-0005-0000-0000-00002D000000}"/>
  </cellStyles>
  <dxfs count="1">
    <dxf>
      <font>
        <color theme="0"/>
      </font>
      <fill>
        <patternFill>
          <fgColor rgb="FF9F601D"/>
          <bgColor rgb="FF09597D"/>
        </patternFill>
      </fill>
    </dxf>
  </dxfs>
  <tableStyles count="1" defaultTableStyle="TableStyleMedium2" defaultPivotStyle="PivotStyleLight16">
    <tableStyle name="RequestFrom" pivot="0" count="0" xr9:uid="{00000000-0011-0000-FFFF-FFFF00000000}"/>
  </tableStyles>
  <colors>
    <mruColors>
      <color rgb="FF09597D"/>
      <color rgb="FFF5F5F5"/>
      <color rgb="FF262626"/>
      <color rgb="FFFFF6E1"/>
      <color rgb="FFCDDEE5"/>
      <color rgb="FF6B9BB1"/>
      <color rgb="FF6B9B75"/>
      <color rgb="FF297E73"/>
      <color rgb="FFF4DCCC"/>
      <color rgb="FF9C60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fmlaLink="$C$27"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hyperlink" Target="#Introduction!A1"/><Relationship Id="rId1" Type="http://schemas.openxmlformats.org/officeDocument/2006/relationships/hyperlink" Target="#About_Request_Form!A1"/></Relationships>
</file>

<file path=xl/drawings/_rels/drawing10.xml.rels><?xml version="1.0" encoding="UTF-8" standalone="yes"?>
<Relationships xmlns="http://schemas.openxmlformats.org/package/2006/relationships"><Relationship Id="rId1" Type="http://schemas.openxmlformats.org/officeDocument/2006/relationships/hyperlink" Target="#App_C_Acronyms!A1"/></Relationships>
</file>

<file path=xl/drawings/_rels/drawing2.xml.rels><?xml version="1.0" encoding="UTF-8" standalone="yes"?>
<Relationships xmlns="http://schemas.openxmlformats.org/package/2006/relationships"><Relationship Id="rId3" Type="http://schemas.openxmlformats.org/officeDocument/2006/relationships/hyperlink" Target="#Revision_Log!A1"/><Relationship Id="rId2" Type="http://schemas.openxmlformats.org/officeDocument/2006/relationships/hyperlink" Target="#Form_Instructions!A1"/><Relationship Id="rId1" Type="http://schemas.openxmlformats.org/officeDocument/2006/relationships/hyperlink" Target="#Introduction!A1"/></Relationships>
</file>

<file path=xl/drawings/_rels/drawing3.xml.rels><?xml version="1.0" encoding="UTF-8" standalone="yes"?>
<Relationships xmlns="http://schemas.openxmlformats.org/package/2006/relationships"><Relationship Id="rId2" Type="http://schemas.openxmlformats.org/officeDocument/2006/relationships/hyperlink" Target="#About_Request_Form!A1"/><Relationship Id="rId1" Type="http://schemas.openxmlformats.org/officeDocument/2006/relationships/hyperlink" Target="#Research_Project_Info!A1"/></Relationships>
</file>

<file path=xl/drawings/_rels/drawing4.xml.rels><?xml version="1.0" encoding="UTF-8" standalone="yes"?>
<Relationships xmlns="http://schemas.openxmlformats.org/package/2006/relationships"><Relationship Id="rId2" Type="http://schemas.openxmlformats.org/officeDocument/2006/relationships/hyperlink" Target="#'File-Level_Request'!A1"/><Relationship Id="rId1" Type="http://schemas.openxmlformats.org/officeDocument/2006/relationships/hyperlink" Target="#Form_Instructions!A1"/></Relationships>
</file>

<file path=xl/drawings/_rels/drawing5.xml.rels><?xml version="1.0" encoding="UTF-8" standalone="yes"?>
<Relationships xmlns="http://schemas.openxmlformats.org/package/2006/relationships"><Relationship Id="rId2" Type="http://schemas.openxmlformats.org/officeDocument/2006/relationships/hyperlink" Target="#Summary!A1"/><Relationship Id="rId1" Type="http://schemas.openxmlformats.org/officeDocument/2006/relationships/hyperlink" Target="#Research_Project_Info!A1"/></Relationships>
</file>

<file path=xl/drawings/_rels/drawing6.xml.rels><?xml version="1.0" encoding="UTF-8" standalone="yes"?>
<Relationships xmlns="http://schemas.openxmlformats.org/package/2006/relationships"><Relationship Id="rId2" Type="http://schemas.openxmlformats.org/officeDocument/2006/relationships/hyperlink" Target="#App_A_File_Desc!A1"/><Relationship Id="rId1" Type="http://schemas.openxmlformats.org/officeDocument/2006/relationships/hyperlink" Target="#'File-Level_Request'!A1"/></Relationships>
</file>

<file path=xl/drawings/_rels/drawing7.xml.rels><?xml version="1.0" encoding="UTF-8" standalone="yes"?>
<Relationships xmlns="http://schemas.openxmlformats.org/package/2006/relationships"><Relationship Id="rId2" Type="http://schemas.openxmlformats.org/officeDocument/2006/relationships/hyperlink" Target="#App_B_Masking_Levels!A1"/><Relationship Id="rId1" Type="http://schemas.openxmlformats.org/officeDocument/2006/relationships/hyperlink" Target="#Summary!A1"/></Relationships>
</file>

<file path=xl/drawings/_rels/drawing8.xml.rels><?xml version="1.0" encoding="UTF-8" standalone="yes"?>
<Relationships xmlns="http://schemas.openxmlformats.org/package/2006/relationships"><Relationship Id="rId2" Type="http://schemas.openxmlformats.org/officeDocument/2006/relationships/hyperlink" Target="#App_C_Acronyms!A1"/><Relationship Id="rId1" Type="http://schemas.openxmlformats.org/officeDocument/2006/relationships/hyperlink" Target="#App_A_File_Desc!A1"/></Relationships>
</file>

<file path=xl/drawings/_rels/drawing9.xml.rels><?xml version="1.0" encoding="UTF-8" standalone="yes"?>
<Relationships xmlns="http://schemas.openxmlformats.org/package/2006/relationships"><Relationship Id="rId2" Type="http://schemas.openxmlformats.org/officeDocument/2006/relationships/hyperlink" Target="#App_D_Glossary!A1"/><Relationship Id="rId1" Type="http://schemas.openxmlformats.org/officeDocument/2006/relationships/hyperlink" Target="#App_B_Masking_Levels!A1"/></Relationships>
</file>

<file path=xl/drawings/drawing1.xml><?xml version="1.0" encoding="utf-8"?>
<xdr:wsDr xmlns:xdr="http://schemas.openxmlformats.org/drawingml/2006/spreadsheetDrawing" xmlns:a="http://schemas.openxmlformats.org/drawingml/2006/main">
  <xdr:twoCellAnchor>
    <xdr:from>
      <xdr:col>3</xdr:col>
      <xdr:colOff>5840729</xdr:colOff>
      <xdr:row>25</xdr:row>
      <xdr:rowOff>102094</xdr:rowOff>
    </xdr:from>
    <xdr:to>
      <xdr:col>3</xdr:col>
      <xdr:colOff>7069454</xdr:colOff>
      <xdr:row>26</xdr:row>
      <xdr:rowOff>213854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0365104" y="12170269"/>
          <a:ext cx="1228725" cy="3594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twoCellAnchor>
    <xdr:from>
      <xdr:col>3</xdr:col>
      <xdr:colOff>3714750</xdr:colOff>
      <xdr:row>0</xdr:row>
      <xdr:rowOff>314960</xdr:rowOff>
    </xdr:from>
    <xdr:to>
      <xdr:col>3</xdr:col>
      <xdr:colOff>5360670</xdr:colOff>
      <xdr:row>1</xdr:row>
      <xdr:rowOff>315595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7912100" y="314960"/>
          <a:ext cx="1645920" cy="36258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Introduction</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5421630</xdr:colOff>
      <xdr:row>0</xdr:row>
      <xdr:rowOff>310515</xdr:rowOff>
    </xdr:from>
    <xdr:to>
      <xdr:col>3</xdr:col>
      <xdr:colOff>7067550</xdr:colOff>
      <xdr:row>1</xdr:row>
      <xdr:rowOff>304800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0041255" y="310515"/>
          <a:ext cx="1645920" cy="35623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 About Request Form&gt;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4571340</xdr:colOff>
      <xdr:row>25</xdr:row>
      <xdr:rowOff>101414</xdr:rowOff>
    </xdr:from>
    <xdr:to>
      <xdr:col>3</xdr:col>
      <xdr:colOff>5809590</xdr:colOff>
      <xdr:row>26</xdr:row>
      <xdr:rowOff>214535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9095715" y="12169589"/>
          <a:ext cx="1238250" cy="36077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5397316</xdr:colOff>
      <xdr:row>0</xdr:row>
      <xdr:rowOff>286418</xdr:rowOff>
    </xdr:from>
    <xdr:to>
      <xdr:col>3</xdr:col>
      <xdr:colOff>7043236</xdr:colOff>
      <xdr:row>1</xdr:row>
      <xdr:rowOff>296578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1636191" y="286418"/>
          <a:ext cx="1645920" cy="3721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App C Acronyms</a:t>
          </a:r>
        </a:p>
      </xdr:txBody>
    </xdr:sp>
    <xdr:clientData/>
  </xdr:twoCellAnchor>
  <xdr:twoCellAnchor>
    <xdr:from>
      <xdr:col>3</xdr:col>
      <xdr:colOff>5899155</xdr:colOff>
      <xdr:row>19</xdr:row>
      <xdr:rowOff>37194</xdr:rowOff>
    </xdr:from>
    <xdr:to>
      <xdr:col>4</xdr:col>
      <xdr:colOff>21595</xdr:colOff>
      <xdr:row>19</xdr:row>
      <xdr:rowOff>404315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2138030" y="7847694"/>
          <a:ext cx="1189990"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5469305</xdr:colOff>
      <xdr:row>54</xdr:row>
      <xdr:rowOff>6350</xdr:rowOff>
    </xdr:from>
    <xdr:to>
      <xdr:col>3</xdr:col>
      <xdr:colOff>6703745</xdr:colOff>
      <xdr:row>54</xdr:row>
      <xdr:rowOff>373471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074768" y="123388438"/>
          <a:ext cx="0" cy="367121"/>
        </a:xfrm>
        <a:prstGeom prst="rect">
          <a:avLst/>
        </a:prstGeom>
        <a:solidFill>
          <a:srgbClr val="996633"/>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chemeClr val="bg1"/>
              </a:solidFill>
              <a:latin typeface="Franklin Gothic Medium" panose="020B0603020102020204" pitchFamily="34" charset="0"/>
            </a:rPr>
            <a:t>&lt;</a:t>
          </a:r>
          <a:r>
            <a:rPr lang="en-US" sz="1050" u="none" baseline="0">
              <a:solidFill>
                <a:schemeClr val="bg1"/>
              </a:solidFill>
              <a:latin typeface="Franklin Gothic Medium" panose="020B0603020102020204" pitchFamily="34" charset="0"/>
            </a:rPr>
            <a:t> </a:t>
          </a:r>
          <a:endParaRPr lang="en-US" sz="1050" u="none">
            <a:solidFill>
              <a:schemeClr val="bg1"/>
            </a:solidFill>
            <a:latin typeface="Franklin Gothic Medium" panose="020B0603020102020204" pitchFamily="34" charset="0"/>
          </a:endParaRPr>
        </a:p>
      </xdr:txBody>
    </xdr:sp>
    <xdr:clientData/>
  </xdr:twoCellAnchor>
  <xdr:twoCellAnchor>
    <xdr:from>
      <xdr:col>3</xdr:col>
      <xdr:colOff>2530474</xdr:colOff>
      <xdr:row>53</xdr:row>
      <xdr:rowOff>110117</xdr:rowOff>
    </xdr:from>
    <xdr:to>
      <xdr:col>3</xdr:col>
      <xdr:colOff>3764914</xdr:colOff>
      <xdr:row>54</xdr:row>
      <xdr:rowOff>221877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9898062" y="123239792"/>
          <a:ext cx="1172527" cy="364173"/>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twoCellAnchor>
    <xdr:from>
      <xdr:col>3</xdr:col>
      <xdr:colOff>304800</xdr:colOff>
      <xdr:row>0</xdr:row>
      <xdr:rowOff>314960</xdr:rowOff>
    </xdr:from>
    <xdr:to>
      <xdr:col>3</xdr:col>
      <xdr:colOff>1950720</xdr:colOff>
      <xdr:row>1</xdr:row>
      <xdr:rowOff>328295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7672388" y="314960"/>
          <a:ext cx="1645920" cy="370523"/>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Revision Log</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2011680</xdr:colOff>
      <xdr:row>0</xdr:row>
      <xdr:rowOff>310515</xdr:rowOff>
    </xdr:from>
    <xdr:to>
      <xdr:col>3</xdr:col>
      <xdr:colOff>3657600</xdr:colOff>
      <xdr:row>1</xdr:row>
      <xdr:rowOff>314325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9574530" y="310515"/>
          <a:ext cx="164592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 Form Instructions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1262990</xdr:colOff>
      <xdr:row>53</xdr:row>
      <xdr:rowOff>107950</xdr:rowOff>
    </xdr:from>
    <xdr:to>
      <xdr:col>3</xdr:col>
      <xdr:colOff>2497430</xdr:colOff>
      <xdr:row>54</xdr:row>
      <xdr:rowOff>221071</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200-000006000000}"/>
            </a:ext>
          </a:extLst>
        </xdr:cNvPr>
        <xdr:cNvSpPr/>
      </xdr:nvSpPr>
      <xdr:spPr>
        <a:xfrm>
          <a:off x="8630578" y="123237625"/>
          <a:ext cx="1234440" cy="365534"/>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12369799</xdr:colOff>
      <xdr:row>17</xdr:row>
      <xdr:rowOff>127262</xdr:rowOff>
    </xdr:from>
    <xdr:to>
      <xdr:col>1</xdr:col>
      <xdr:colOff>13600429</xdr:colOff>
      <xdr:row>17</xdr:row>
      <xdr:rowOff>486672</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13160374" y="4842137"/>
          <a:ext cx="1230630" cy="3594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twoCellAnchor>
    <xdr:from>
      <xdr:col>1</xdr:col>
      <xdr:colOff>10304145</xdr:colOff>
      <xdr:row>0</xdr:row>
      <xdr:rowOff>286385</xdr:rowOff>
    </xdr:from>
    <xdr:to>
      <xdr:col>1</xdr:col>
      <xdr:colOff>11953875</xdr:colOff>
      <xdr:row>1</xdr:row>
      <xdr:rowOff>284480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11094720" y="286385"/>
          <a:ext cx="1649730" cy="36004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About Request Form</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12007215</xdr:colOff>
      <xdr:row>0</xdr:row>
      <xdr:rowOff>295275</xdr:rowOff>
    </xdr:from>
    <xdr:to>
      <xdr:col>1</xdr:col>
      <xdr:colOff>13656945</xdr:colOff>
      <xdr:row>1</xdr:row>
      <xdr:rowOff>281940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797790" y="295275"/>
          <a:ext cx="1649730" cy="34861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 Research Project Info&gt;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11106125</xdr:colOff>
      <xdr:row>17</xdr:row>
      <xdr:rowOff>125095</xdr:rowOff>
    </xdr:from>
    <xdr:to>
      <xdr:col>1</xdr:col>
      <xdr:colOff>12336755</xdr:colOff>
      <xdr:row>17</xdr:row>
      <xdr:rowOff>485866</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1896700" y="4839970"/>
          <a:ext cx="1230630" cy="36077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171450</xdr:colOff>
      <xdr:row>0</xdr:row>
      <xdr:rowOff>321050</xdr:rowOff>
    </xdr:from>
    <xdr:to>
      <xdr:col>5</xdr:col>
      <xdr:colOff>1817370</xdr:colOff>
      <xdr:row>1</xdr:row>
      <xdr:rowOff>324860</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00000000-0008-0000-0400-00000A000000}"/>
            </a:ext>
          </a:extLst>
        </xdr:cNvPr>
        <xdr:cNvSpPr/>
      </xdr:nvSpPr>
      <xdr:spPr>
        <a:xfrm>
          <a:off x="9398794" y="321050"/>
          <a:ext cx="1645920" cy="36099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Form Instructions</a:t>
          </a:r>
        </a:p>
      </xdr:txBody>
    </xdr:sp>
    <xdr:clientData/>
  </xdr:twoCellAnchor>
  <xdr:twoCellAnchor>
    <xdr:from>
      <xdr:col>5</xdr:col>
      <xdr:colOff>1854503</xdr:colOff>
      <xdr:row>0</xdr:row>
      <xdr:rowOff>321050</xdr:rowOff>
    </xdr:from>
    <xdr:to>
      <xdr:col>6</xdr:col>
      <xdr:colOff>9511</xdr:colOff>
      <xdr:row>1</xdr:row>
      <xdr:rowOff>324860</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1081847" y="321050"/>
          <a:ext cx="1639570" cy="36099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File-Level </a:t>
          </a:r>
          <a:r>
            <a:rPr lang="en-US" sz="1050" u="none" baseline="0">
              <a:solidFill>
                <a:sysClr val="windowText" lastClr="000000"/>
              </a:solidFill>
              <a:latin typeface="Segoe UI Semibold" panose="020B0702040204020203" pitchFamily="34" charset="0"/>
              <a:cs typeface="Segoe UI Semibold" panose="020B0702040204020203" pitchFamily="34" charset="0"/>
            </a:rPr>
            <a:t>Request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5</xdr:col>
      <xdr:colOff>1501713</xdr:colOff>
      <xdr:row>38</xdr:row>
      <xdr:rowOff>177329</xdr:rowOff>
    </xdr:from>
    <xdr:to>
      <xdr:col>5</xdr:col>
      <xdr:colOff>2416113</xdr:colOff>
      <xdr:row>39</xdr:row>
      <xdr:rowOff>257339</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10540938" y="23208779"/>
          <a:ext cx="914400" cy="3276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5</xdr:col>
      <xdr:colOff>2497455</xdr:colOff>
      <xdr:row>38</xdr:row>
      <xdr:rowOff>179234</xdr:rowOff>
    </xdr:from>
    <xdr:to>
      <xdr:col>6</xdr:col>
      <xdr:colOff>7620</xdr:colOff>
      <xdr:row>39</xdr:row>
      <xdr:rowOff>255434</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400-00000D000000}"/>
            </a:ext>
          </a:extLst>
        </xdr:cNvPr>
        <xdr:cNvSpPr/>
      </xdr:nvSpPr>
      <xdr:spPr>
        <a:xfrm>
          <a:off x="11536680" y="23210684"/>
          <a:ext cx="920115" cy="32385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mc:AlternateContent xmlns:mc="http://schemas.openxmlformats.org/markup-compatibility/2006">
    <mc:Choice xmlns:a14="http://schemas.microsoft.com/office/drawing/2010/main" Requires="a14">
      <xdr:twoCellAnchor editAs="absolute">
        <xdr:from>
          <xdr:col>2</xdr:col>
          <xdr:colOff>107950</xdr:colOff>
          <xdr:row>26</xdr:row>
          <xdr:rowOff>450850</xdr:rowOff>
        </xdr:from>
        <xdr:to>
          <xdr:col>3</xdr:col>
          <xdr:colOff>704850</xdr:colOff>
          <xdr:row>26</xdr:row>
          <xdr:rowOff>660400</xdr:rowOff>
        </xdr:to>
        <xdr:sp macro="" textlink="">
          <xdr:nvSpPr>
            <xdr:cNvPr id="1141" name="Option Button 117" descr="Click to select SAS" hidden="1">
              <a:extLst>
                <a:ext uri="{63B3BB69-23CF-44E3-9099-C40C66FF867C}">
                  <a14:compatExt spid="_x0000_s1141"/>
                </a:ext>
                <a:ext uri="{FF2B5EF4-FFF2-40B4-BE49-F238E27FC236}">
                  <a16:creationId xmlns:a16="http://schemas.microsoft.com/office/drawing/2014/main" id="{00000000-0008-0000-04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25</xdr:row>
          <xdr:rowOff>241300</xdr:rowOff>
        </xdr:from>
        <xdr:to>
          <xdr:col>3</xdr:col>
          <xdr:colOff>546100</xdr:colOff>
          <xdr:row>25</xdr:row>
          <xdr:rowOff>469900</xdr:rowOff>
        </xdr:to>
        <xdr:sp macro="" textlink="">
          <xdr:nvSpPr>
            <xdr:cNvPr id="1143" name="Check Box 119" descr="Click to select R" hidden="1">
              <a:extLst>
                <a:ext uri="{63B3BB69-23CF-44E3-9099-C40C66FF867C}">
                  <a14:compatExt spid="_x0000_s1143"/>
                </a:ext>
                <a:ext uri="{FF2B5EF4-FFF2-40B4-BE49-F238E27FC236}">
                  <a16:creationId xmlns:a16="http://schemas.microsoft.com/office/drawing/2014/main" id="{00000000-0008-0000-04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38100</xdr:colOff>
          <xdr:row>26</xdr:row>
          <xdr:rowOff>457200</xdr:rowOff>
        </xdr:from>
        <xdr:to>
          <xdr:col>4</xdr:col>
          <xdr:colOff>228600</xdr:colOff>
          <xdr:row>26</xdr:row>
          <xdr:rowOff>647700</xdr:rowOff>
        </xdr:to>
        <xdr:sp macro="" textlink="">
          <xdr:nvSpPr>
            <xdr:cNvPr id="1144" name="Option Button 120" descr="Click to select STATA" hidden="1">
              <a:extLst>
                <a:ext uri="{63B3BB69-23CF-44E3-9099-C40C66FF867C}">
                  <a14:compatExt spid="_x0000_s1144"/>
                </a:ext>
                <a:ext uri="{FF2B5EF4-FFF2-40B4-BE49-F238E27FC236}">
                  <a16:creationId xmlns:a16="http://schemas.microsoft.com/office/drawing/2014/main" id="{00000000-0008-0000-04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95250</xdr:colOff>
          <xdr:row>22</xdr:row>
          <xdr:rowOff>114300</xdr:rowOff>
        </xdr:from>
        <xdr:to>
          <xdr:col>3</xdr:col>
          <xdr:colOff>3194050</xdr:colOff>
          <xdr:row>22</xdr:row>
          <xdr:rowOff>381000</xdr:rowOff>
        </xdr:to>
        <xdr:sp macro="" textlink="">
          <xdr:nvSpPr>
            <xdr:cNvPr id="1150" name="Option Button 126" descr="Click to Select National Health and Aging Trends Study (NHATS)" hidden="1">
              <a:extLst>
                <a:ext uri="{63B3BB69-23CF-44E3-9099-C40C66FF867C}">
                  <a14:compatExt spid="_x0000_s1150"/>
                </a:ext>
                <a:ext uri="{FF2B5EF4-FFF2-40B4-BE49-F238E27FC236}">
                  <a16:creationId xmlns:a16="http://schemas.microsoft.com/office/drawing/2014/main" id="{00000000-0008-0000-04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4343400</xdr:colOff>
          <xdr:row>22</xdr:row>
          <xdr:rowOff>0</xdr:rowOff>
        </xdr:from>
        <xdr:to>
          <xdr:col>5</xdr:col>
          <xdr:colOff>3486150</xdr:colOff>
          <xdr:row>23</xdr:row>
          <xdr:rowOff>0</xdr:rowOff>
        </xdr:to>
        <xdr:sp macro="" textlink="">
          <xdr:nvSpPr>
            <xdr:cNvPr id="1152" name="Group Box 128" hidden="1">
              <a:extLst>
                <a:ext uri="{63B3BB69-23CF-44E3-9099-C40C66FF867C}">
                  <a14:compatExt spid="_x0000_s1152"/>
                </a:ext>
                <a:ext uri="{FF2B5EF4-FFF2-40B4-BE49-F238E27FC236}">
                  <a16:creationId xmlns:a16="http://schemas.microsoft.com/office/drawing/2014/main" id="{00000000-0008-0000-0400-00008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2076223</xdr:colOff>
      <xdr:row>1</xdr:row>
      <xdr:rowOff>18142</xdr:rowOff>
    </xdr:from>
    <xdr:to>
      <xdr:col>8</xdr:col>
      <xdr:colOff>3722143</xdr:colOff>
      <xdr:row>1</xdr:row>
      <xdr:rowOff>383902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6443098" y="375330"/>
          <a:ext cx="164592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Research Project Info</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8</xdr:col>
      <xdr:colOff>2916882</xdr:colOff>
      <xdr:row>108</xdr:row>
      <xdr:rowOff>1510</xdr:rowOff>
    </xdr:from>
    <xdr:to>
      <xdr:col>8</xdr:col>
      <xdr:colOff>4151322</xdr:colOff>
      <xdr:row>108</xdr:row>
      <xdr:rowOff>368631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7298537" y="77975131"/>
          <a:ext cx="1234440"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8</xdr:col>
      <xdr:colOff>4190358</xdr:colOff>
      <xdr:row>108</xdr:row>
      <xdr:rowOff>2473</xdr:rowOff>
    </xdr:from>
    <xdr:to>
      <xdr:col>8</xdr:col>
      <xdr:colOff>5424798</xdr:colOff>
      <xdr:row>108</xdr:row>
      <xdr:rowOff>368631</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8552903" y="78142109"/>
          <a:ext cx="1234440"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twoCellAnchor>
    <xdr:from>
      <xdr:col>8</xdr:col>
      <xdr:colOff>3772324</xdr:colOff>
      <xdr:row>1</xdr:row>
      <xdr:rowOff>18842</xdr:rowOff>
    </xdr:from>
    <xdr:to>
      <xdr:col>8</xdr:col>
      <xdr:colOff>5415454</xdr:colOff>
      <xdr:row>1</xdr:row>
      <xdr:rowOff>381427</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18142862" y="375419"/>
          <a:ext cx="1643130" cy="36258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Summary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549635</xdr:colOff>
      <xdr:row>0</xdr:row>
      <xdr:rowOff>223158</xdr:rowOff>
    </xdr:from>
    <xdr:to>
      <xdr:col>3</xdr:col>
      <xdr:colOff>893805</xdr:colOff>
      <xdr:row>1</xdr:row>
      <xdr:rowOff>232385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8760185" y="223158"/>
          <a:ext cx="1645920" cy="364827"/>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File-Level Request</a:t>
          </a:r>
        </a:p>
      </xdr:txBody>
    </xdr:sp>
    <xdr:clientData/>
  </xdr:twoCellAnchor>
  <xdr:twoCellAnchor>
    <xdr:from>
      <xdr:col>3</xdr:col>
      <xdr:colOff>951007</xdr:colOff>
      <xdr:row>0</xdr:row>
      <xdr:rowOff>223160</xdr:rowOff>
    </xdr:from>
    <xdr:to>
      <xdr:col>4</xdr:col>
      <xdr:colOff>1295177</xdr:colOff>
      <xdr:row>1</xdr:row>
      <xdr:rowOff>232387</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10463307" y="223160"/>
          <a:ext cx="1645920" cy="364827"/>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App A File Desc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99573</xdr:colOff>
      <xdr:row>50</xdr:row>
      <xdr:rowOff>91143</xdr:rowOff>
    </xdr:from>
    <xdr:to>
      <xdr:col>4</xdr:col>
      <xdr:colOff>32263</xdr:colOff>
      <xdr:row>52</xdr:row>
      <xdr:rowOff>13764</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9611873" y="25910243"/>
          <a:ext cx="1234440"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4</xdr:col>
      <xdr:colOff>83263</xdr:colOff>
      <xdr:row>50</xdr:row>
      <xdr:rowOff>92106</xdr:rowOff>
    </xdr:from>
    <xdr:to>
      <xdr:col>5</xdr:col>
      <xdr:colOff>15953</xdr:colOff>
      <xdr:row>52</xdr:row>
      <xdr:rowOff>13764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600-000006000000}"/>
            </a:ext>
          </a:extLst>
        </xdr:cNvPr>
        <xdr:cNvSpPr/>
      </xdr:nvSpPr>
      <xdr:spPr>
        <a:xfrm>
          <a:off x="10897313" y="25911206"/>
          <a:ext cx="1234440"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7433425</xdr:colOff>
      <xdr:row>1</xdr:row>
      <xdr:rowOff>15423</xdr:rowOff>
    </xdr:from>
    <xdr:to>
      <xdr:col>2</xdr:col>
      <xdr:colOff>9069820</xdr:colOff>
      <xdr:row>2</xdr:row>
      <xdr:rowOff>3358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0195675" y="371023"/>
          <a:ext cx="1636395" cy="38163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Summary</a:t>
          </a:r>
        </a:p>
      </xdr:txBody>
    </xdr:sp>
    <xdr:clientData/>
  </xdr:twoCellAnchor>
  <xdr:twoCellAnchor>
    <xdr:from>
      <xdr:col>2</xdr:col>
      <xdr:colOff>8207719</xdr:colOff>
      <xdr:row>16</xdr:row>
      <xdr:rowOff>110405</xdr:rowOff>
    </xdr:from>
    <xdr:to>
      <xdr:col>2</xdr:col>
      <xdr:colOff>9440206</xdr:colOff>
      <xdr:row>16</xdr:row>
      <xdr:rowOff>477526</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0969969" y="24367405"/>
          <a:ext cx="1232487" cy="367121"/>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2</xdr:col>
      <xdr:colOff>9103098</xdr:colOff>
      <xdr:row>1</xdr:row>
      <xdr:rowOff>16996</xdr:rowOff>
    </xdr:from>
    <xdr:to>
      <xdr:col>2</xdr:col>
      <xdr:colOff>10758543</xdr:colOff>
      <xdr:row>2</xdr:row>
      <xdr:rowOff>14456</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1865348" y="372596"/>
          <a:ext cx="1655445" cy="3911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App B Masking Levels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2</xdr:col>
      <xdr:colOff>9502738</xdr:colOff>
      <xdr:row>16</xdr:row>
      <xdr:rowOff>109818</xdr:rowOff>
    </xdr:from>
    <xdr:to>
      <xdr:col>2</xdr:col>
      <xdr:colOff>10734003</xdr:colOff>
      <xdr:row>16</xdr:row>
      <xdr:rowOff>475976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2264988" y="24366818"/>
          <a:ext cx="1231265"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460178</xdr:colOff>
      <xdr:row>0</xdr:row>
      <xdr:rowOff>315651</xdr:rowOff>
    </xdr:from>
    <xdr:to>
      <xdr:col>4</xdr:col>
      <xdr:colOff>827703</xdr:colOff>
      <xdr:row>1</xdr:row>
      <xdr:rowOff>320096</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0337603" y="315651"/>
          <a:ext cx="1672450" cy="36639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&lt;</a:t>
          </a:r>
          <a:r>
            <a:rPr lang="en-US" sz="1050" u="none" baseline="0">
              <a:solidFill>
                <a:sysClr val="windowText" lastClr="000000"/>
              </a:solidFill>
              <a:latin typeface="Segoe UI Semibold" panose="020B0702040204020203" pitchFamily="34" charset="0"/>
              <a:cs typeface="Segoe UI Semibold" panose="020B0702040204020203" pitchFamily="34" charset="0"/>
            </a:rPr>
            <a:t> </a:t>
          </a:r>
          <a:r>
            <a:rPr lang="en-US" sz="1050" u="none">
              <a:solidFill>
                <a:sysClr val="windowText" lastClr="000000"/>
              </a:solidFill>
              <a:latin typeface="Segoe UI Semibold" panose="020B0702040204020203" pitchFamily="34" charset="0"/>
              <a:cs typeface="Segoe UI Semibold" panose="020B0702040204020203" pitchFamily="34" charset="0"/>
            </a:rPr>
            <a:t>App A File Desc</a:t>
          </a:r>
        </a:p>
      </xdr:txBody>
    </xdr:sp>
    <xdr:clientData/>
  </xdr:twoCellAnchor>
  <xdr:twoCellAnchor>
    <xdr:from>
      <xdr:col>3</xdr:col>
      <xdr:colOff>76200</xdr:colOff>
      <xdr:row>20</xdr:row>
      <xdr:rowOff>143510</xdr:rowOff>
    </xdr:from>
    <xdr:to>
      <xdr:col>4</xdr:col>
      <xdr:colOff>25987</xdr:colOff>
      <xdr:row>20</xdr:row>
      <xdr:rowOff>509270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7955280" y="6155690"/>
          <a:ext cx="1252807"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4</xdr:col>
      <xdr:colOff>876935</xdr:colOff>
      <xdr:row>0</xdr:row>
      <xdr:rowOff>314561</xdr:rowOff>
    </xdr:from>
    <xdr:to>
      <xdr:col>5</xdr:col>
      <xdr:colOff>1236345</xdr:colOff>
      <xdr:row>1</xdr:row>
      <xdr:rowOff>326626</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2059285" y="314561"/>
          <a:ext cx="1664335" cy="374015"/>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Segoe UI Semibold" panose="020B0702040204020203" pitchFamily="34" charset="0"/>
              <a:cs typeface="Segoe UI Semibold" panose="020B0702040204020203" pitchFamily="34" charset="0"/>
            </a:rPr>
            <a:t>App C Acronyms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4</xdr:col>
      <xdr:colOff>57150</xdr:colOff>
      <xdr:row>20</xdr:row>
      <xdr:rowOff>143510</xdr:rowOff>
    </xdr:from>
    <xdr:to>
      <xdr:col>5</xdr:col>
      <xdr:colOff>8143</xdr:colOff>
      <xdr:row>20</xdr:row>
      <xdr:rowOff>509668</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9239250" y="6155690"/>
          <a:ext cx="1254013" cy="366158"/>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a:t>
          </a:r>
          <a:endParaRPr lang="en-US" sz="1050" u="none">
            <a:solidFill>
              <a:sysClr val="windowText" lastClr="000000"/>
            </a:solidFill>
            <a:latin typeface="Franklin Gothic Medium" panose="020B06030201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2282641</xdr:colOff>
      <xdr:row>0</xdr:row>
      <xdr:rowOff>243539</xdr:rowOff>
    </xdr:from>
    <xdr:to>
      <xdr:col>2</xdr:col>
      <xdr:colOff>3928561</xdr:colOff>
      <xdr:row>1</xdr:row>
      <xdr:rowOff>253699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5225866" y="243539"/>
          <a:ext cx="1645920" cy="3721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050" u="none">
              <a:solidFill>
                <a:sysClr val="windowText" lastClr="000000"/>
              </a:solidFill>
              <a:latin typeface="Segoe UI Semibold" panose="020B0702040204020203" pitchFamily="34" charset="0"/>
              <a:cs typeface="Segoe UI Semibold" panose="020B0702040204020203" pitchFamily="34" charset="0"/>
            </a:rPr>
            <a:t>&lt;  App B Masking Levels</a:t>
          </a:r>
        </a:p>
      </xdr:txBody>
    </xdr:sp>
    <xdr:clientData/>
  </xdr:twoCellAnchor>
  <xdr:twoCellAnchor>
    <xdr:from>
      <xdr:col>2</xdr:col>
      <xdr:colOff>3133725</xdr:colOff>
      <xdr:row>36</xdr:row>
      <xdr:rowOff>24947</xdr:rowOff>
    </xdr:from>
    <xdr:to>
      <xdr:col>2</xdr:col>
      <xdr:colOff>4368165</xdr:colOff>
      <xdr:row>36</xdr:row>
      <xdr:rowOff>390707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6076950" y="14302922"/>
          <a:ext cx="123444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Franklin Gothic Medium" panose="020B0603020102020204" pitchFamily="34" charset="0"/>
            </a:rPr>
            <a:t>&lt;</a:t>
          </a:r>
          <a:r>
            <a:rPr lang="en-US" sz="1050" u="none" baseline="0">
              <a:solidFill>
                <a:sysClr val="windowText" lastClr="000000"/>
              </a:solidFill>
              <a:latin typeface="Franklin Gothic Medium" panose="020B0603020102020204" pitchFamily="34" charset="0"/>
            </a:rPr>
            <a:t> </a:t>
          </a:r>
          <a:endParaRPr lang="en-US" sz="1050" u="none">
            <a:solidFill>
              <a:sysClr val="windowText" lastClr="000000"/>
            </a:solidFill>
            <a:latin typeface="Franklin Gothic Medium" panose="020B0603020102020204" pitchFamily="34" charset="0"/>
          </a:endParaRPr>
        </a:p>
      </xdr:txBody>
    </xdr:sp>
    <xdr:clientData/>
  </xdr:twoCellAnchor>
  <xdr:twoCellAnchor>
    <xdr:from>
      <xdr:col>2</xdr:col>
      <xdr:colOff>3965575</xdr:colOff>
      <xdr:row>0</xdr:row>
      <xdr:rowOff>243221</xdr:rowOff>
    </xdr:from>
    <xdr:to>
      <xdr:col>2</xdr:col>
      <xdr:colOff>5611495</xdr:colOff>
      <xdr:row>1</xdr:row>
      <xdr:rowOff>253381</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6908800" y="243221"/>
          <a:ext cx="1645920" cy="37211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a:solidFill>
                <a:sysClr val="windowText" lastClr="000000"/>
              </a:solidFill>
              <a:latin typeface="Segoe UI Semibold" panose="020B0702040204020203" pitchFamily="34" charset="0"/>
              <a:cs typeface="Segoe UI Semibold" panose="020B0702040204020203" pitchFamily="34" charset="0"/>
            </a:rPr>
            <a:t>App</a:t>
          </a:r>
          <a:r>
            <a:rPr lang="en-US" sz="1050" u="none" baseline="0">
              <a:solidFill>
                <a:sysClr val="windowText" lastClr="000000"/>
              </a:solidFill>
              <a:latin typeface="Segoe UI Semibold" panose="020B0702040204020203" pitchFamily="34" charset="0"/>
              <a:cs typeface="Segoe UI Semibold" panose="020B0702040204020203" pitchFamily="34" charset="0"/>
            </a:rPr>
            <a:t> D Glossary &gt;</a:t>
          </a:r>
          <a:endParaRPr lang="en-US" sz="1050" u="none">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2</xdr:col>
      <xdr:colOff>4403725</xdr:colOff>
      <xdr:row>36</xdr:row>
      <xdr:rowOff>31297</xdr:rowOff>
    </xdr:from>
    <xdr:to>
      <xdr:col>3</xdr:col>
      <xdr:colOff>8890</xdr:colOff>
      <xdr:row>36</xdr:row>
      <xdr:rowOff>397057</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7346950" y="14309272"/>
          <a:ext cx="1234440" cy="365760"/>
        </a:xfrm>
        <a:prstGeom prst="rect">
          <a:avLst/>
        </a:prstGeom>
        <a:solidFill>
          <a:srgbClr val="CDDEE5"/>
        </a:solidFill>
        <a:ln>
          <a:noFill/>
        </a:ln>
        <a:effectLst>
          <a:outerShdw blurRad="38100" dist="25400" dir="2700000" algn="tl" rotWithShape="0">
            <a:schemeClr val="bg2">
              <a:lumMod val="25000"/>
              <a:alpha val="2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050" u="none" baseline="0">
              <a:solidFill>
                <a:sysClr val="windowText" lastClr="000000"/>
              </a:solidFill>
              <a:latin typeface="Franklin Gothic Medium" panose="020B0603020102020204" pitchFamily="34" charset="0"/>
            </a:rPr>
            <a:t>&gt; </a:t>
          </a:r>
          <a:endParaRPr lang="en-US" sz="1050" u="none">
            <a:solidFill>
              <a:sysClr val="windowText" lastClr="000000"/>
            </a:solidFill>
            <a:latin typeface="Franklin Gothic Medium" panose="020B0603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996633"/>
        </a:solidFill>
        <a:ln>
          <a:noFill/>
        </a:ln>
        <a:effectLst>
          <a:outerShdw blurRad="38100" dist="25400" dir="2700000" algn="tl" rotWithShape="0">
            <a:schemeClr val="bg2">
              <a:lumMod val="25000"/>
              <a:alpha val="20000"/>
            </a:schemeClr>
          </a:outerShdw>
        </a:effectLst>
      </a:spPr>
      <a:bodyPr vertOverflow="clip" horzOverflow="clip" rtlCol="0" anchor="ctr"/>
      <a:lstStyle>
        <a:defPPr algn="ctr">
          <a:defRPr sz="1050" u="none">
            <a:solidFill>
              <a:schemeClr val="bg1"/>
            </a:solidFill>
            <a:latin typeface="Franklin Gothic Medium" panose="020B0603020102020204" pitchFamily="34" charset="0"/>
          </a:defRPr>
        </a:defPPr>
      </a:lstStyle>
      <a:style>
        <a:lnRef idx="1">
          <a:schemeClr val="dk1"/>
        </a:lnRef>
        <a:fillRef idx="2">
          <a:schemeClr val="dk1"/>
        </a:fillRef>
        <a:effectRef idx="1">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4.xml"/><Relationship Id="rId7" Type="http://schemas.openxmlformats.org/officeDocument/2006/relationships/ctrlProp" Target="../ctrlProps/ctrlProp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DDEE5"/>
  </sheetPr>
  <dimension ref="A1:B30"/>
  <sheetViews>
    <sheetView showGridLines="0" tabSelected="1" zoomScaleNormal="100" workbookViewId="0">
      <selection activeCell="A2" sqref="A2"/>
    </sheetView>
  </sheetViews>
  <sheetFormatPr defaultColWidth="8.69140625" defaultRowHeight="17.5" x14ac:dyDescent="0.45"/>
  <cols>
    <col min="1" max="1" width="145.69140625" style="33" customWidth="1"/>
    <col min="2" max="16" width="8.69140625" style="26" customWidth="1"/>
    <col min="17" max="16384" width="8.69140625" style="26"/>
  </cols>
  <sheetData>
    <row r="1" spans="1:2" ht="45" customHeight="1" x14ac:dyDescent="0.45">
      <c r="A1" s="234" t="s">
        <v>385</v>
      </c>
    </row>
    <row r="2" spans="1:2" ht="28.9" customHeight="1" x14ac:dyDescent="0.45">
      <c r="A2" s="366" t="s">
        <v>568</v>
      </c>
    </row>
    <row r="3" spans="1:2" s="362" customFormat="1" ht="35.15" customHeight="1" x14ac:dyDescent="0.45">
      <c r="A3" s="363" t="s">
        <v>499</v>
      </c>
    </row>
    <row r="4" spans="1:2" ht="45" customHeight="1" x14ac:dyDescent="0.65">
      <c r="A4" s="359" t="s">
        <v>398</v>
      </c>
    </row>
    <row r="5" spans="1:2" s="365" customFormat="1" ht="25" customHeight="1" x14ac:dyDescent="0.45">
      <c r="A5" s="364" t="s">
        <v>567</v>
      </c>
    </row>
    <row r="6" spans="1:2" ht="25.15" customHeight="1" x14ac:dyDescent="0.45">
      <c r="A6" s="360" t="s">
        <v>569</v>
      </c>
    </row>
    <row r="7" spans="1:2" ht="35.15" customHeight="1" x14ac:dyDescent="0.45">
      <c r="A7" s="361" t="s">
        <v>570</v>
      </c>
    </row>
    <row r="8" spans="1:2" ht="45" customHeight="1" x14ac:dyDescent="0.65">
      <c r="A8" s="342" t="s">
        <v>48</v>
      </c>
    </row>
    <row r="9" spans="1:2" ht="30" customHeight="1" x14ac:dyDescent="0.45">
      <c r="A9" s="355" t="s">
        <v>377</v>
      </c>
    </row>
    <row r="10" spans="1:2" s="358" customFormat="1" ht="30" customHeight="1" x14ac:dyDescent="0.45">
      <c r="A10" s="357" t="s">
        <v>383</v>
      </c>
    </row>
    <row r="11" spans="1:2" ht="30" customHeight="1" x14ac:dyDescent="0.45">
      <c r="A11" s="355" t="s">
        <v>257</v>
      </c>
    </row>
    <row r="12" spans="1:2" ht="30" customHeight="1" x14ac:dyDescent="0.45">
      <c r="A12" s="357" t="s">
        <v>505</v>
      </c>
    </row>
    <row r="13" spans="1:2" ht="30" customHeight="1" x14ac:dyDescent="0.45">
      <c r="A13" s="355" t="s">
        <v>345</v>
      </c>
      <c r="B13" s="29"/>
    </row>
    <row r="14" spans="1:2" ht="30" customHeight="1" x14ac:dyDescent="0.45">
      <c r="A14" s="356" t="s">
        <v>357</v>
      </c>
    </row>
    <row r="15" spans="1:2" ht="30" customHeight="1" x14ac:dyDescent="0.45">
      <c r="A15" s="355" t="s">
        <v>401</v>
      </c>
    </row>
    <row r="16" spans="1:2" ht="30" customHeight="1" x14ac:dyDescent="0.45">
      <c r="A16" s="357" t="s">
        <v>461</v>
      </c>
    </row>
    <row r="17" spans="1:1" ht="30" customHeight="1" x14ac:dyDescent="0.45">
      <c r="A17" s="355" t="s">
        <v>73</v>
      </c>
    </row>
    <row r="18" spans="1:1" ht="30" customHeight="1" x14ac:dyDescent="0.45">
      <c r="A18" s="357" t="s">
        <v>462</v>
      </c>
    </row>
    <row r="19" spans="1:1" ht="30" customHeight="1" x14ac:dyDescent="0.45">
      <c r="A19" s="355" t="s">
        <v>50</v>
      </c>
    </row>
    <row r="20" spans="1:1" ht="30" customHeight="1" x14ac:dyDescent="0.45">
      <c r="A20" s="356" t="s">
        <v>70</v>
      </c>
    </row>
    <row r="21" spans="1:1" ht="30" customHeight="1" x14ac:dyDescent="0.45">
      <c r="A21" s="355" t="s">
        <v>402</v>
      </c>
    </row>
    <row r="22" spans="1:1" ht="30" customHeight="1" x14ac:dyDescent="0.45">
      <c r="A22" s="356" t="s">
        <v>342</v>
      </c>
    </row>
    <row r="23" spans="1:1" ht="30" customHeight="1" x14ac:dyDescent="0.45">
      <c r="A23" s="355" t="s">
        <v>614</v>
      </c>
    </row>
    <row r="24" spans="1:1" ht="30" customHeight="1" x14ac:dyDescent="0.45">
      <c r="A24" s="356" t="s">
        <v>506</v>
      </c>
    </row>
    <row r="25" spans="1:1" ht="30" customHeight="1" x14ac:dyDescent="0.45">
      <c r="A25" s="355" t="s">
        <v>485</v>
      </c>
    </row>
    <row r="26" spans="1:1" ht="30" customHeight="1" x14ac:dyDescent="0.45">
      <c r="A26" s="356" t="s">
        <v>343</v>
      </c>
    </row>
    <row r="27" spans="1:1" ht="30" customHeight="1" x14ac:dyDescent="0.45">
      <c r="A27" s="355" t="s">
        <v>486</v>
      </c>
    </row>
    <row r="28" spans="1:1" ht="30" customHeight="1" x14ac:dyDescent="0.45">
      <c r="A28" s="356" t="s">
        <v>344</v>
      </c>
    </row>
    <row r="29" spans="1:1" ht="30" customHeight="1" x14ac:dyDescent="0.45">
      <c r="A29" s="32"/>
    </row>
    <row r="30" spans="1:1" ht="15.5" x14ac:dyDescent="0.45">
      <c r="A30" s="277" t="s">
        <v>500</v>
      </c>
    </row>
  </sheetData>
  <sheetProtection algorithmName="SHA-512" hashValue="doOop9C1JyuOPbzy9Hc/Ixvu/mEocYPvrniOmB15deEd7HywwBoZSLsBqbf4J1en84Vj0/44ouxocqSVOXforg==" saltValue="UMEw59TiKt+tHQ06J3tVhA==" spinCount="100000" sheet="1" objects="1" scenarios="1" formatColumns="0" formatRows="0"/>
  <dataConsolidate link="1"/>
  <customSheetViews>
    <customSheetView guid="{9DB63C14-8C2E-43D7-ACAD-1DD967C25093}" scale="90" showGridLines="0">
      <pageMargins left="0.7" right="0.7" top="0.75" bottom="0.75" header="0.3" footer="0.3"/>
      <pageSetup orientation="portrait" r:id="rId1"/>
    </customSheetView>
  </customSheetViews>
  <hyperlinks>
    <hyperlink ref="A15" location="Research_Project_Info!A1" display="Research_Project_Info" xr:uid="{44745108-0062-488C-A45F-2A00E51855A9}"/>
    <hyperlink ref="A17" location="'File-Level_Request'!A1" display="File-Level Request" xr:uid="{E6887C03-AAF5-42CC-89A8-C584B25AAF53}"/>
    <hyperlink ref="A19" location="Summary!A1" display="Summary" xr:uid="{9CF44780-A651-4F12-B561-B667112BC334}"/>
    <hyperlink ref="A21" location="App_A_File_Desc!A1" display="App_A_File Description" xr:uid="{C65F690B-2448-41B9-AF40-32F7D9E2A764}"/>
    <hyperlink ref="A23" location="App_B_Masking_Levels!A1" display="App B Masking Levels" xr:uid="{8F7B31C4-DB4D-4B7B-8F7A-7CEBB2A3409C}"/>
    <hyperlink ref="A11" location="About_Request_Form!A1" display="Above Request Form" xr:uid="{463332D7-EA3D-446B-B077-A21D0D68EF1B}"/>
    <hyperlink ref="A25" location="App_C_Acronyms!A1" display="App C Acronyms" xr:uid="{D38B0AC6-19CD-485D-86A8-E1FDC8AE33EA}"/>
    <hyperlink ref="A27" location="App_D_Glossary!A1" display="App D Glossary" xr:uid="{AB0096A7-CA4F-4EEE-B806-0D52AB3732EF}"/>
    <hyperlink ref="A13" location="Form_Instructions!A1" display="Form_Instructions" xr:uid="{91F49272-879A-41E2-A3DE-EE10467DA5BF}"/>
    <hyperlink ref="A9" location="Revision_Log!A1" display="Revision Log" xr:uid="{C350F1C3-296B-4EDD-8E84-1DE9956A035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6E1"/>
  </sheetPr>
  <dimension ref="A1:D37"/>
  <sheetViews>
    <sheetView zoomScaleNormal="100" workbookViewId="0">
      <selection activeCell="A2" sqref="A2"/>
    </sheetView>
  </sheetViews>
  <sheetFormatPr defaultColWidth="8.69140625" defaultRowHeight="17.5" x14ac:dyDescent="0.45"/>
  <cols>
    <col min="1" max="1" width="7.765625" style="33" customWidth="1"/>
    <col min="2" max="2" width="15" style="33" customWidth="1"/>
    <col min="3" max="3" width="65.69140625" style="33" customWidth="1"/>
    <col min="4" max="4" width="8.69140625" style="33"/>
    <col min="5" max="16384" width="8.69140625" style="26"/>
  </cols>
  <sheetData>
    <row r="1" spans="1:4" ht="28.5" customHeight="1" x14ac:dyDescent="0.45">
      <c r="A1" s="234" t="s">
        <v>385</v>
      </c>
      <c r="B1" s="172"/>
      <c r="C1" s="172"/>
      <c r="D1" s="173"/>
    </row>
    <row r="2" spans="1:4" ht="29" x14ac:dyDescent="0.45">
      <c r="A2" s="371" t="s">
        <v>484</v>
      </c>
      <c r="B2" s="188"/>
      <c r="C2" s="188"/>
      <c r="D2" s="189"/>
    </row>
    <row r="3" spans="1:4" ht="16" customHeight="1" x14ac:dyDescent="0.75">
      <c r="A3" s="244"/>
      <c r="B3" s="190"/>
      <c r="C3" s="190"/>
      <c r="D3" s="189"/>
    </row>
    <row r="4" spans="1:4" ht="30" customHeight="1" x14ac:dyDescent="0.45">
      <c r="A4" s="327" t="s">
        <v>512</v>
      </c>
      <c r="B4" s="328"/>
      <c r="C4" s="328"/>
      <c r="D4" s="321"/>
    </row>
    <row r="5" spans="1:4" ht="35.25" customHeight="1" x14ac:dyDescent="0.45">
      <c r="A5" s="191"/>
      <c r="B5" s="191"/>
      <c r="C5" s="191"/>
      <c r="D5" s="192"/>
    </row>
    <row r="6" spans="1:4" s="205" customFormat="1" ht="20.149999999999999" customHeight="1" x14ac:dyDescent="0.45">
      <c r="A6" s="203"/>
      <c r="B6" s="216" t="s">
        <v>182</v>
      </c>
      <c r="C6" s="206" t="s">
        <v>183</v>
      </c>
      <c r="D6" s="204"/>
    </row>
    <row r="7" spans="1:4" ht="25" customHeight="1" x14ac:dyDescent="0.45">
      <c r="A7" s="178"/>
      <c r="B7" s="217" t="s">
        <v>184</v>
      </c>
      <c r="C7" s="218" t="s">
        <v>185</v>
      </c>
      <c r="D7" s="177"/>
    </row>
    <row r="8" spans="1:4" ht="25" customHeight="1" x14ac:dyDescent="0.45">
      <c r="A8" s="178"/>
      <c r="B8" s="219" t="s">
        <v>186</v>
      </c>
      <c r="C8" s="220" t="s">
        <v>187</v>
      </c>
      <c r="D8" s="177"/>
    </row>
    <row r="9" spans="1:4" ht="25" customHeight="1" x14ac:dyDescent="0.45">
      <c r="A9" s="178"/>
      <c r="B9" s="217" t="s">
        <v>188</v>
      </c>
      <c r="C9" s="218" t="s">
        <v>189</v>
      </c>
      <c r="D9" s="177"/>
    </row>
    <row r="10" spans="1:4" ht="25" customHeight="1" x14ac:dyDescent="0.45">
      <c r="A10" s="178"/>
      <c r="B10" s="219" t="s">
        <v>190</v>
      </c>
      <c r="C10" s="220" t="s">
        <v>191</v>
      </c>
      <c r="D10" s="177"/>
    </row>
    <row r="11" spans="1:4" ht="25" customHeight="1" x14ac:dyDescent="0.45">
      <c r="A11" s="178"/>
      <c r="B11" s="217" t="s">
        <v>181</v>
      </c>
      <c r="C11" s="218" t="s">
        <v>192</v>
      </c>
      <c r="D11" s="177"/>
    </row>
    <row r="12" spans="1:4" ht="25" customHeight="1" x14ac:dyDescent="0.45">
      <c r="A12" s="178"/>
      <c r="B12" s="219" t="s">
        <v>193</v>
      </c>
      <c r="C12" s="220" t="s">
        <v>194</v>
      </c>
      <c r="D12" s="177"/>
    </row>
    <row r="13" spans="1:4" ht="25" customHeight="1" x14ac:dyDescent="0.45">
      <c r="A13" s="178"/>
      <c r="B13" s="217" t="s">
        <v>195</v>
      </c>
      <c r="C13" s="218" t="s">
        <v>196</v>
      </c>
      <c r="D13" s="177"/>
    </row>
    <row r="14" spans="1:4" ht="25" customHeight="1" x14ac:dyDescent="0.45">
      <c r="A14" s="178"/>
      <c r="B14" s="219" t="s">
        <v>494</v>
      </c>
      <c r="C14" s="220" t="s">
        <v>497</v>
      </c>
      <c r="D14" s="177"/>
    </row>
    <row r="15" spans="1:4" ht="25" customHeight="1" x14ac:dyDescent="0.45">
      <c r="A15" s="178"/>
      <c r="B15" s="217" t="s">
        <v>197</v>
      </c>
      <c r="C15" s="218" t="s">
        <v>198</v>
      </c>
      <c r="D15" s="177"/>
    </row>
    <row r="16" spans="1:4" ht="25" customHeight="1" x14ac:dyDescent="0.45">
      <c r="A16" s="178"/>
      <c r="B16" s="219" t="s">
        <v>199</v>
      </c>
      <c r="C16" s="220" t="s">
        <v>200</v>
      </c>
      <c r="D16" s="177"/>
    </row>
    <row r="17" spans="1:4" ht="25" customHeight="1" x14ac:dyDescent="0.45">
      <c r="A17" s="178"/>
      <c r="B17" s="217" t="s">
        <v>201</v>
      </c>
      <c r="C17" s="218" t="s">
        <v>202</v>
      </c>
      <c r="D17" s="177"/>
    </row>
    <row r="18" spans="1:4" ht="25" customHeight="1" x14ac:dyDescent="0.45">
      <c r="A18" s="178"/>
      <c r="B18" s="219" t="s">
        <v>203</v>
      </c>
      <c r="C18" s="220" t="s">
        <v>204</v>
      </c>
      <c r="D18" s="177"/>
    </row>
    <row r="19" spans="1:4" ht="25" customHeight="1" x14ac:dyDescent="0.45">
      <c r="A19" s="178"/>
      <c r="B19" s="217" t="s">
        <v>205</v>
      </c>
      <c r="C19" s="218" t="s">
        <v>206</v>
      </c>
      <c r="D19" s="177"/>
    </row>
    <row r="20" spans="1:4" ht="25" customHeight="1" x14ac:dyDescent="0.45">
      <c r="A20" s="178"/>
      <c r="B20" s="219" t="s">
        <v>207</v>
      </c>
      <c r="C20" s="220" t="s">
        <v>208</v>
      </c>
      <c r="D20" s="177"/>
    </row>
    <row r="21" spans="1:4" ht="25" customHeight="1" x14ac:dyDescent="0.45">
      <c r="A21" s="178"/>
      <c r="B21" s="217" t="s">
        <v>16</v>
      </c>
      <c r="C21" s="218" t="s">
        <v>209</v>
      </c>
      <c r="D21" s="177"/>
    </row>
    <row r="22" spans="1:4" ht="25" customHeight="1" x14ac:dyDescent="0.45">
      <c r="A22" s="178"/>
      <c r="B22" s="219" t="s">
        <v>210</v>
      </c>
      <c r="C22" s="220" t="s">
        <v>211</v>
      </c>
      <c r="D22" s="177"/>
    </row>
    <row r="23" spans="1:4" ht="25" customHeight="1" x14ac:dyDescent="0.45">
      <c r="A23" s="178"/>
      <c r="B23" s="217" t="s">
        <v>212</v>
      </c>
      <c r="C23" s="218" t="s">
        <v>213</v>
      </c>
      <c r="D23" s="177"/>
    </row>
    <row r="24" spans="1:4" ht="25" customHeight="1" x14ac:dyDescent="0.45">
      <c r="A24" s="178"/>
      <c r="B24" s="217" t="s">
        <v>89</v>
      </c>
      <c r="C24" s="218" t="s">
        <v>623</v>
      </c>
      <c r="D24" s="177"/>
    </row>
    <row r="25" spans="1:4" ht="25" customHeight="1" x14ac:dyDescent="0.45">
      <c r="A25" s="178"/>
      <c r="B25" s="219" t="s">
        <v>214</v>
      </c>
      <c r="C25" s="220" t="s">
        <v>215</v>
      </c>
      <c r="D25" s="177"/>
    </row>
    <row r="26" spans="1:4" ht="25" customHeight="1" x14ac:dyDescent="0.45">
      <c r="A26" s="178"/>
      <c r="B26" s="217" t="s">
        <v>216</v>
      </c>
      <c r="C26" s="218" t="s">
        <v>217</v>
      </c>
      <c r="D26" s="177"/>
    </row>
    <row r="27" spans="1:4" ht="25" customHeight="1" x14ac:dyDescent="0.45">
      <c r="A27" s="178"/>
      <c r="B27" s="219" t="s">
        <v>218</v>
      </c>
      <c r="C27" s="220" t="s">
        <v>219</v>
      </c>
      <c r="D27" s="177"/>
    </row>
    <row r="28" spans="1:4" ht="25" customHeight="1" x14ac:dyDescent="0.45">
      <c r="A28" s="178"/>
      <c r="B28" s="217" t="s">
        <v>220</v>
      </c>
      <c r="C28" s="218" t="s">
        <v>221</v>
      </c>
      <c r="D28" s="177"/>
    </row>
    <row r="29" spans="1:4" ht="25" customHeight="1" x14ac:dyDescent="0.45">
      <c r="A29" s="178"/>
      <c r="B29" s="219" t="s">
        <v>222</v>
      </c>
      <c r="C29" s="220" t="s">
        <v>223</v>
      </c>
      <c r="D29" s="177"/>
    </row>
    <row r="30" spans="1:4" ht="25" customHeight="1" x14ac:dyDescent="0.45">
      <c r="A30" s="178"/>
      <c r="B30" s="217" t="s">
        <v>224</v>
      </c>
      <c r="C30" s="218" t="s">
        <v>225</v>
      </c>
      <c r="D30" s="177"/>
    </row>
    <row r="31" spans="1:4" ht="25" customHeight="1" x14ac:dyDescent="0.45">
      <c r="A31" s="178"/>
      <c r="B31" s="219" t="s">
        <v>226</v>
      </c>
      <c r="C31" s="220" t="s">
        <v>227</v>
      </c>
      <c r="D31" s="177"/>
    </row>
    <row r="32" spans="1:4" ht="25" customHeight="1" x14ac:dyDescent="0.45">
      <c r="A32" s="178"/>
      <c r="B32" s="217" t="s">
        <v>228</v>
      </c>
      <c r="C32" s="218" t="s">
        <v>229</v>
      </c>
      <c r="D32" s="177"/>
    </row>
    <row r="33" spans="1:4" ht="25" customHeight="1" x14ac:dyDescent="0.45">
      <c r="A33" s="178"/>
      <c r="B33" s="219" t="s">
        <v>230</v>
      </c>
      <c r="C33" s="220" t="s">
        <v>231</v>
      </c>
      <c r="D33" s="177"/>
    </row>
    <row r="34" spans="1:4" ht="25" customHeight="1" x14ac:dyDescent="0.45">
      <c r="A34" s="178"/>
      <c r="B34" s="217" t="s">
        <v>232</v>
      </c>
      <c r="C34" s="218" t="s">
        <v>233</v>
      </c>
      <c r="D34" s="177"/>
    </row>
    <row r="35" spans="1:4" ht="25" customHeight="1" x14ac:dyDescent="0.45">
      <c r="A35" s="178"/>
      <c r="B35" s="221" t="s">
        <v>234</v>
      </c>
      <c r="C35" s="220" t="s">
        <v>235</v>
      </c>
      <c r="D35" s="177"/>
    </row>
    <row r="36" spans="1:4" s="211" customFormat="1" ht="15" customHeight="1" x14ac:dyDescent="0.45">
      <c r="A36" s="180"/>
      <c r="B36" s="222"/>
      <c r="C36" s="210"/>
      <c r="D36" s="180"/>
    </row>
    <row r="37" spans="1:4" s="209" customFormat="1" ht="45" customHeight="1" x14ac:dyDescent="0.45">
      <c r="A37" s="207"/>
      <c r="B37" s="283" t="s">
        <v>500</v>
      </c>
      <c r="C37" s="254"/>
      <c r="D37" s="208"/>
    </row>
  </sheetData>
  <sheetProtection algorithmName="SHA-512" hashValue="3r3UOuMsXmeG1tIa1joMQHIv23Q+0Gvyc2KDTXkbAb+ks2xtW7De+t7i2zMZZVVVHBmB0xzJV4E5U5Wc1zxd5Q==" saltValue="9KMTcTcwD56TkVZcDwu5lQ==" spinCount="100000" sheet="1" objects="1" scenarios="1" formatCells="0" formatColumns="0" formatRows="0"/>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6E1"/>
  </sheetPr>
  <dimension ref="A1:E20"/>
  <sheetViews>
    <sheetView zoomScaleNormal="100" workbookViewId="0">
      <selection activeCell="A2" sqref="A2"/>
    </sheetView>
  </sheetViews>
  <sheetFormatPr defaultColWidth="8.69140625" defaultRowHeight="17.5" x14ac:dyDescent="0.45"/>
  <cols>
    <col min="1" max="1" width="7.765625" style="33" customWidth="1"/>
    <col min="2" max="2" width="39.69140625" style="33" customWidth="1"/>
    <col min="3" max="3" width="24.4609375" style="33" customWidth="1"/>
    <col min="4" max="4" width="82.4609375" style="33" customWidth="1"/>
    <col min="5" max="5" width="8.69140625" style="33"/>
    <col min="6" max="16384" width="8.69140625" style="26"/>
  </cols>
  <sheetData>
    <row r="1" spans="1:5" ht="28.5" customHeight="1" x14ac:dyDescent="0.45">
      <c r="A1" s="234" t="s">
        <v>385</v>
      </c>
      <c r="B1" s="172"/>
      <c r="C1" s="172"/>
      <c r="D1" s="172"/>
      <c r="E1" s="173"/>
    </row>
    <row r="2" spans="1:5" ht="29" x14ac:dyDescent="0.45">
      <c r="A2" s="371" t="s">
        <v>483</v>
      </c>
      <c r="B2" s="189"/>
      <c r="C2" s="189"/>
      <c r="D2" s="189"/>
      <c r="E2" s="189"/>
    </row>
    <row r="3" spans="1:5" ht="20.25" customHeight="1" x14ac:dyDescent="0.75">
      <c r="A3" s="244"/>
      <c r="B3" s="190"/>
      <c r="C3" s="190"/>
      <c r="D3" s="190"/>
      <c r="E3" s="189"/>
    </row>
    <row r="4" spans="1:5" ht="30" customHeight="1" x14ac:dyDescent="0.45">
      <c r="A4" s="327" t="s">
        <v>502</v>
      </c>
      <c r="B4" s="328"/>
      <c r="C4" s="328"/>
      <c r="D4" s="320"/>
      <c r="E4" s="321"/>
    </row>
    <row r="5" spans="1:5" ht="35.25" customHeight="1" x14ac:dyDescent="0.45">
      <c r="A5" s="191"/>
      <c r="B5" s="191"/>
      <c r="C5" s="191"/>
      <c r="D5" s="191"/>
      <c r="E5" s="192"/>
    </row>
    <row r="6" spans="1:5" ht="20.149999999999999" customHeight="1" x14ac:dyDescent="0.45">
      <c r="A6" s="178"/>
      <c r="B6" s="212" t="s">
        <v>348</v>
      </c>
      <c r="C6" s="212" t="s">
        <v>236</v>
      </c>
      <c r="D6" s="212" t="s">
        <v>69</v>
      </c>
      <c r="E6" s="177"/>
    </row>
    <row r="7" spans="1:5" ht="25" customHeight="1" x14ac:dyDescent="0.45">
      <c r="A7" s="178"/>
      <c r="B7" s="227" t="s">
        <v>237</v>
      </c>
      <c r="C7" s="228" t="s">
        <v>238</v>
      </c>
      <c r="D7" s="225" t="s">
        <v>239</v>
      </c>
      <c r="E7" s="177"/>
    </row>
    <row r="8" spans="1:5" ht="25" customHeight="1" x14ac:dyDescent="0.45">
      <c r="A8" s="178"/>
      <c r="B8" s="229" t="s">
        <v>240</v>
      </c>
      <c r="C8" s="230" t="s">
        <v>241</v>
      </c>
      <c r="D8" s="226" t="s">
        <v>242</v>
      </c>
      <c r="E8" s="177"/>
    </row>
    <row r="9" spans="1:5" ht="25" customHeight="1" x14ac:dyDescent="0.45">
      <c r="A9" s="178"/>
      <c r="B9" s="227" t="s">
        <v>240</v>
      </c>
      <c r="C9" s="228" t="s">
        <v>243</v>
      </c>
      <c r="D9" s="225" t="s">
        <v>244</v>
      </c>
      <c r="E9" s="177"/>
    </row>
    <row r="10" spans="1:5" ht="25" customHeight="1" x14ac:dyDescent="0.45">
      <c r="A10" s="178"/>
      <c r="B10" s="229" t="s">
        <v>367</v>
      </c>
      <c r="C10" s="230" t="s">
        <v>368</v>
      </c>
      <c r="D10" s="226" t="s">
        <v>369</v>
      </c>
      <c r="E10" s="177"/>
    </row>
    <row r="11" spans="1:5" ht="48" customHeight="1" x14ac:dyDescent="0.45">
      <c r="A11" s="178"/>
      <c r="B11" s="227" t="s">
        <v>49</v>
      </c>
      <c r="C11" s="228" t="s">
        <v>245</v>
      </c>
      <c r="D11" s="225" t="s">
        <v>503</v>
      </c>
      <c r="E11" s="177"/>
    </row>
    <row r="12" spans="1:5" ht="55" customHeight="1" x14ac:dyDescent="0.45">
      <c r="A12" s="178"/>
      <c r="B12" s="231" t="s">
        <v>395</v>
      </c>
      <c r="C12" s="230" t="s">
        <v>366</v>
      </c>
      <c r="D12" s="226" t="s">
        <v>373</v>
      </c>
      <c r="E12" s="177"/>
    </row>
    <row r="13" spans="1:5" ht="25" customHeight="1" x14ac:dyDescent="0.45">
      <c r="A13" s="178"/>
      <c r="B13" s="232" t="s">
        <v>370</v>
      </c>
      <c r="C13" s="228" t="s">
        <v>371</v>
      </c>
      <c r="D13" s="225" t="s">
        <v>372</v>
      </c>
      <c r="E13" s="177"/>
    </row>
    <row r="14" spans="1:5" ht="35.25" customHeight="1" x14ac:dyDescent="0.45">
      <c r="A14" s="178"/>
      <c r="B14" s="231" t="s">
        <v>246</v>
      </c>
      <c r="C14" s="230" t="s">
        <v>247</v>
      </c>
      <c r="D14" s="226" t="s">
        <v>248</v>
      </c>
      <c r="E14" s="177"/>
    </row>
    <row r="15" spans="1:5" ht="35.25" customHeight="1" x14ac:dyDescent="0.45">
      <c r="A15" s="178"/>
      <c r="B15" s="232" t="s">
        <v>246</v>
      </c>
      <c r="C15" s="228" t="s">
        <v>249</v>
      </c>
      <c r="D15" s="225" t="s">
        <v>250</v>
      </c>
      <c r="E15" s="177"/>
    </row>
    <row r="16" spans="1:5" ht="35.25" customHeight="1" x14ac:dyDescent="0.45">
      <c r="A16" s="178"/>
      <c r="B16" s="231" t="s">
        <v>246</v>
      </c>
      <c r="C16" s="230" t="s">
        <v>251</v>
      </c>
      <c r="D16" s="226" t="s">
        <v>252</v>
      </c>
      <c r="E16" s="177"/>
    </row>
    <row r="17" spans="1:5" ht="25" customHeight="1" x14ac:dyDescent="0.45">
      <c r="A17" s="178"/>
      <c r="B17" s="227" t="s">
        <v>49</v>
      </c>
      <c r="C17" s="228" t="s">
        <v>253</v>
      </c>
      <c r="D17" s="225" t="s">
        <v>504</v>
      </c>
      <c r="E17" s="177"/>
    </row>
    <row r="18" spans="1:5" ht="45.65" customHeight="1" x14ac:dyDescent="0.45">
      <c r="A18" s="178"/>
      <c r="B18" s="233" t="s">
        <v>254</v>
      </c>
      <c r="C18" s="230" t="s">
        <v>255</v>
      </c>
      <c r="D18" s="226" t="s">
        <v>256</v>
      </c>
      <c r="E18" s="177"/>
    </row>
    <row r="19" spans="1:5" ht="15" customHeight="1" x14ac:dyDescent="0.45">
      <c r="A19" s="178"/>
      <c r="B19" s="214"/>
      <c r="C19" s="215"/>
      <c r="D19" s="213"/>
      <c r="E19" s="180"/>
    </row>
    <row r="20" spans="1:5" ht="45" customHeight="1" x14ac:dyDescent="0.45">
      <c r="A20" s="181"/>
      <c r="B20" s="280" t="s">
        <v>500</v>
      </c>
      <c r="C20" s="251"/>
      <c r="D20" s="255"/>
      <c r="E20" s="182"/>
    </row>
  </sheetData>
  <sheetProtection algorithmName="SHA-512" hashValue="JNeOuy5UvaHT56qKgW+AjoPJ+e2n2rPvjrAI4p6xesdxx9d5MOKurvSf4xEJozs3u3fDvmmy9IGPrP/u46U82g==" saltValue="CzRj5nnUp51x6JjaEeVnBw==" spinCount="100000" sheet="1" objects="1" scenarios="1" formatCells="0" formatColumns="0" formatRows="0"/>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F86"/>
  <sheetViews>
    <sheetView zoomScale="70" zoomScaleNormal="70" workbookViewId="0"/>
  </sheetViews>
  <sheetFormatPr defaultRowHeight="17.5" x14ac:dyDescent="0.45"/>
  <cols>
    <col min="1" max="1" width="13.07421875" bestFit="1" customWidth="1"/>
    <col min="2" max="2" width="77.07421875" bestFit="1" customWidth="1"/>
    <col min="3" max="3" width="38.84375" customWidth="1"/>
    <col min="4" max="4" width="39.3046875" customWidth="1"/>
    <col min="5" max="5" width="11.53515625" customWidth="1"/>
    <col min="6" max="6" width="9.69140625" bestFit="1" customWidth="1"/>
  </cols>
  <sheetData>
    <row r="1" spans="1:6" ht="20" x14ac:dyDescent="0.45">
      <c r="A1" s="3" t="s">
        <v>7</v>
      </c>
    </row>
    <row r="2" spans="1:6" x14ac:dyDescent="0.45">
      <c r="B2" t="s">
        <v>269</v>
      </c>
      <c r="C2" t="s">
        <v>271</v>
      </c>
      <c r="D2" t="s">
        <v>270</v>
      </c>
      <c r="E2" t="s">
        <v>275</v>
      </c>
    </row>
    <row r="3" spans="1:6" x14ac:dyDescent="0.45">
      <c r="B3" t="s">
        <v>277</v>
      </c>
      <c r="C3" t="s">
        <v>278</v>
      </c>
      <c r="D3" t="s">
        <v>276</v>
      </c>
      <c r="E3" t="str">
        <f>VLOOKUP(SelectSurvey,SurveyNameLookUp,3,FALSE)</f>
        <v>NHATS</v>
      </c>
    </row>
    <row r="4" spans="1:6" x14ac:dyDescent="0.45">
      <c r="C4" s="12"/>
      <c r="D4" s="12"/>
      <c r="E4" s="12"/>
      <c r="F4" s="12"/>
    </row>
    <row r="5" spans="1:6" x14ac:dyDescent="0.45">
      <c r="A5" t="s">
        <v>333</v>
      </c>
      <c r="C5" s="12"/>
      <c r="D5" s="12"/>
      <c r="E5" s="12"/>
      <c r="F5" s="12"/>
    </row>
    <row r="6" spans="1:6" x14ac:dyDescent="0.45">
      <c r="B6" t="s">
        <v>273</v>
      </c>
      <c r="C6" s="12" t="s">
        <v>274</v>
      </c>
      <c r="D6" s="12"/>
      <c r="E6" s="12"/>
      <c r="F6" s="12"/>
    </row>
    <row r="7" spans="1:6" x14ac:dyDescent="0.45">
      <c r="A7" s="13" t="s">
        <v>268</v>
      </c>
      <c r="B7" s="13" t="s">
        <v>265</v>
      </c>
      <c r="C7" s="14" t="s">
        <v>264</v>
      </c>
      <c r="D7" s="14" t="s">
        <v>272</v>
      </c>
      <c r="E7" s="14" t="s">
        <v>262</v>
      </c>
      <c r="F7" s="14" t="s">
        <v>263</v>
      </c>
    </row>
    <row r="8" spans="1:6" x14ac:dyDescent="0.45">
      <c r="A8" s="12" t="s">
        <v>89</v>
      </c>
      <c r="B8" s="15" t="s">
        <v>156</v>
      </c>
      <c r="C8" s="12" t="s">
        <v>21</v>
      </c>
      <c r="D8" s="12" t="str">
        <f>CONCATENATE(A8,C8)</f>
        <v>NHATSDenominator (DN)</v>
      </c>
      <c r="E8" s="15" t="s">
        <v>9</v>
      </c>
      <c r="F8" s="15" t="s">
        <v>9</v>
      </c>
    </row>
    <row r="9" spans="1:6" x14ac:dyDescent="0.45">
      <c r="A9" s="12" t="s">
        <v>89</v>
      </c>
      <c r="B9" s="15" t="s">
        <v>156</v>
      </c>
      <c r="C9" s="12" t="s">
        <v>149</v>
      </c>
      <c r="D9" s="12" t="str">
        <f t="shared" ref="D9:D42" si="0">CONCATENATE(A9,C9)</f>
        <v>NHATSMaster Beneficiary Summary File (MBSF): Base – Segment (A/B/C/D)</v>
      </c>
      <c r="E9" s="15">
        <v>2006</v>
      </c>
      <c r="F9" s="15">
        <v>2021</v>
      </c>
    </row>
    <row r="10" spans="1:6" x14ac:dyDescent="0.45">
      <c r="A10" s="12" t="s">
        <v>89</v>
      </c>
      <c r="B10" s="15" t="s">
        <v>157</v>
      </c>
      <c r="C10" s="12" t="s">
        <v>150</v>
      </c>
      <c r="D10" s="12" t="str">
        <f t="shared" si="0"/>
        <v>NHATSMaster Beneficiary Summary File (MBSF): Chronic Conditions</v>
      </c>
      <c r="E10" s="15">
        <v>2006</v>
      </c>
      <c r="F10" s="15">
        <v>2020</v>
      </c>
    </row>
    <row r="11" spans="1:6" x14ac:dyDescent="0.45">
      <c r="A11" s="12" t="s">
        <v>89</v>
      </c>
      <c r="B11" s="15" t="s">
        <v>157</v>
      </c>
      <c r="C11" s="12" t="s">
        <v>151</v>
      </c>
      <c r="D11" s="12" t="str">
        <f t="shared" si="0"/>
        <v>NHATSMaster Beneficiary Summary File (MBSF): Cost &amp; Utilization</v>
      </c>
      <c r="E11" s="15">
        <v>2006</v>
      </c>
      <c r="F11" s="15">
        <v>2020</v>
      </c>
    </row>
    <row r="12" spans="1:6" x14ac:dyDescent="0.45">
      <c r="A12" s="12" t="s">
        <v>89</v>
      </c>
      <c r="B12" s="15" t="s">
        <v>157</v>
      </c>
      <c r="C12" s="12" t="s">
        <v>152</v>
      </c>
      <c r="D12" s="12" t="str">
        <f t="shared" si="0"/>
        <v xml:space="preserve">NHATSMaster Beneficiary Summary File (MBSF): Other Chronic or Potentially Disabling Conditions </v>
      </c>
      <c r="E12" s="15">
        <v>2006</v>
      </c>
      <c r="F12" s="15">
        <v>2020</v>
      </c>
    </row>
    <row r="13" spans="1:6" x14ac:dyDescent="0.45">
      <c r="A13" s="12" t="s">
        <v>89</v>
      </c>
      <c r="B13" s="15" t="s">
        <v>158</v>
      </c>
      <c r="C13" s="12" t="s">
        <v>112</v>
      </c>
      <c r="D13" s="12" t="str">
        <f t="shared" si="0"/>
        <v>NHATSMedicaid Analytic eXtract (MAX) Personal Summary (PS) Enrollment Data</v>
      </c>
      <c r="E13" s="15">
        <v>2006</v>
      </c>
      <c r="F13" s="15">
        <v>2015</v>
      </c>
    </row>
    <row r="14" spans="1:6" x14ac:dyDescent="0.45">
      <c r="A14" s="12" t="s">
        <v>89</v>
      </c>
      <c r="B14" s="15" t="s">
        <v>158</v>
      </c>
      <c r="C14" s="12" t="s">
        <v>133</v>
      </c>
      <c r="D14" s="12" t="str">
        <f t="shared" si="0"/>
        <v>NHATSTMSIS Analytic Files (TAF) Demographic and Eligibility (DE) Enrollment Data</v>
      </c>
      <c r="E14" s="15">
        <v>2014</v>
      </c>
      <c r="F14" s="15">
        <v>2019</v>
      </c>
    </row>
    <row r="15" spans="1:6" x14ac:dyDescent="0.45">
      <c r="A15" s="12" t="s">
        <v>89</v>
      </c>
      <c r="B15" s="15" t="s">
        <v>159</v>
      </c>
      <c r="C15" s="12" t="s">
        <v>289</v>
      </c>
      <c r="D15" s="12" t="str">
        <f t="shared" si="0"/>
        <v>NHATSMedicare Carrier (PB) Claims</v>
      </c>
      <c r="E15" s="15">
        <v>1991</v>
      </c>
      <c r="F15" s="15">
        <v>2021</v>
      </c>
    </row>
    <row r="16" spans="1:6" x14ac:dyDescent="0.45">
      <c r="A16" s="12" t="s">
        <v>89</v>
      </c>
      <c r="B16" s="15" t="s">
        <v>159</v>
      </c>
      <c r="C16" s="12" t="s">
        <v>290</v>
      </c>
      <c r="D16" s="12" t="str">
        <f t="shared" si="0"/>
        <v>NHATSMedicare Durable Medical Equipment (DM) Claims</v>
      </c>
      <c r="E16" s="15">
        <v>1991</v>
      </c>
      <c r="F16" s="15">
        <v>2021</v>
      </c>
    </row>
    <row r="17" spans="1:6" x14ac:dyDescent="0.45">
      <c r="A17" s="12" t="s">
        <v>89</v>
      </c>
      <c r="B17" s="15" t="s">
        <v>159</v>
      </c>
      <c r="C17" s="12" t="s">
        <v>291</v>
      </c>
      <c r="D17" s="12" t="str">
        <f t="shared" si="0"/>
        <v>NHATSMedicare Home Health (HH) Claims</v>
      </c>
      <c r="E17" s="15">
        <v>1991</v>
      </c>
      <c r="F17" s="15">
        <v>2021</v>
      </c>
    </row>
    <row r="18" spans="1:6" x14ac:dyDescent="0.45">
      <c r="A18" s="12" t="s">
        <v>89</v>
      </c>
      <c r="B18" s="15" t="s">
        <v>159</v>
      </c>
      <c r="C18" s="12" t="s">
        <v>292</v>
      </c>
      <c r="D18" s="12" t="str">
        <f t="shared" si="0"/>
        <v>NHATSMedicare Hospice (HS) Claims</v>
      </c>
      <c r="E18" s="15">
        <v>1991</v>
      </c>
      <c r="F18" s="15">
        <v>2021</v>
      </c>
    </row>
    <row r="19" spans="1:6" x14ac:dyDescent="0.45">
      <c r="A19" s="12" t="s">
        <v>89</v>
      </c>
      <c r="B19" s="15" t="s">
        <v>159</v>
      </c>
      <c r="C19" s="12" t="s">
        <v>293</v>
      </c>
      <c r="D19" s="12" t="str">
        <f t="shared" si="0"/>
        <v>NHATSMedicare Inpatient (IP) Claims</v>
      </c>
      <c r="E19" s="15">
        <v>1991</v>
      </c>
      <c r="F19" s="15">
        <v>2021</v>
      </c>
    </row>
    <row r="20" spans="1:6" x14ac:dyDescent="0.45">
      <c r="A20" s="12" t="s">
        <v>89</v>
      </c>
      <c r="B20" s="15" t="s">
        <v>159</v>
      </c>
      <c r="C20" s="12" t="s">
        <v>294</v>
      </c>
      <c r="D20" s="12" t="str">
        <f t="shared" si="0"/>
        <v>NHATSMedicare Outpatient (OP) Claims</v>
      </c>
      <c r="E20" s="15">
        <v>1991</v>
      </c>
      <c r="F20" s="15">
        <v>2021</v>
      </c>
    </row>
    <row r="21" spans="1:6" x14ac:dyDescent="0.45">
      <c r="A21" s="12" t="s">
        <v>89</v>
      </c>
      <c r="B21" s="15" t="s">
        <v>159</v>
      </c>
      <c r="C21" s="12" t="s">
        <v>295</v>
      </c>
      <c r="D21" s="12" t="str">
        <f t="shared" si="0"/>
        <v>NHATSMedicare Skilled Nursing Facility (SN) Claims</v>
      </c>
      <c r="E21" s="15">
        <v>1991</v>
      </c>
      <c r="F21" s="15">
        <v>2021</v>
      </c>
    </row>
    <row r="22" spans="1:6" x14ac:dyDescent="0.45">
      <c r="A22" s="12" t="s">
        <v>89</v>
      </c>
      <c r="B22" s="15" t="s">
        <v>159</v>
      </c>
      <c r="C22" s="12" t="s">
        <v>598</v>
      </c>
      <c r="D22" s="12" t="str">
        <f t="shared" si="0"/>
        <v>NHATSLinkage-Built Medicare Provider Analysis &amp; Review (MedPAR)</v>
      </c>
      <c r="E22" s="15">
        <v>1991</v>
      </c>
      <c r="F22" s="15">
        <v>2020</v>
      </c>
    </row>
    <row r="23" spans="1:6" x14ac:dyDescent="0.45">
      <c r="A23" s="12" t="s">
        <v>89</v>
      </c>
      <c r="B23" s="15" t="s">
        <v>160</v>
      </c>
      <c r="C23" s="12" t="s">
        <v>126</v>
      </c>
      <c r="D23" s="12" t="str">
        <f t="shared" si="0"/>
        <v>NHATSMedicare Carrier Encounter Claims</v>
      </c>
      <c r="E23" s="15">
        <v>2015</v>
      </c>
      <c r="F23" s="15">
        <v>2019</v>
      </c>
    </row>
    <row r="24" spans="1:6" x14ac:dyDescent="0.45">
      <c r="A24" s="12" t="s">
        <v>89</v>
      </c>
      <c r="B24" s="15" t="s">
        <v>160</v>
      </c>
      <c r="C24" s="12" t="s">
        <v>127</v>
      </c>
      <c r="D24" s="12" t="str">
        <f t="shared" si="0"/>
        <v>NHATSMedicare Durable Medical Equipment (DME) Encounter</v>
      </c>
      <c r="E24" s="15">
        <v>2015</v>
      </c>
      <c r="F24" s="15">
        <v>2019</v>
      </c>
    </row>
    <row r="25" spans="1:6" x14ac:dyDescent="0.45">
      <c r="A25" s="12" t="s">
        <v>89</v>
      </c>
      <c r="B25" s="15" t="s">
        <v>160</v>
      </c>
      <c r="C25" s="12" t="s">
        <v>128</v>
      </c>
      <c r="D25" s="12" t="str">
        <f t="shared" si="0"/>
        <v>NHATSMedicare Home Health Agency (HH) Encounter Claims</v>
      </c>
      <c r="E25" s="15">
        <v>2015</v>
      </c>
      <c r="F25" s="15">
        <v>2019</v>
      </c>
    </row>
    <row r="26" spans="1:6" x14ac:dyDescent="0.45">
      <c r="A26" s="12" t="s">
        <v>89</v>
      </c>
      <c r="B26" s="15" t="s">
        <v>160</v>
      </c>
      <c r="C26" s="12" t="s">
        <v>129</v>
      </c>
      <c r="D26" s="12" t="str">
        <f t="shared" si="0"/>
        <v>NHATSMedicare Inpatient (IP) Encounter Claims</v>
      </c>
      <c r="E26" s="15">
        <v>2015</v>
      </c>
      <c r="F26" s="15">
        <v>2019</v>
      </c>
    </row>
    <row r="27" spans="1:6" x14ac:dyDescent="0.45">
      <c r="A27" s="12" t="s">
        <v>89</v>
      </c>
      <c r="B27" s="15" t="s">
        <v>160</v>
      </c>
      <c r="C27" s="12" t="s">
        <v>130</v>
      </c>
      <c r="D27" s="12" t="str">
        <f t="shared" si="0"/>
        <v>NHATSMedicare Outpatient (OP) Encounter Claims</v>
      </c>
      <c r="E27" s="15">
        <v>2015</v>
      </c>
      <c r="F27" s="15">
        <v>2019</v>
      </c>
    </row>
    <row r="28" spans="1:6" x14ac:dyDescent="0.45">
      <c r="A28" s="12" t="s">
        <v>89</v>
      </c>
      <c r="B28" s="15" t="s">
        <v>160</v>
      </c>
      <c r="C28" s="12" t="s">
        <v>131</v>
      </c>
      <c r="D28" s="12" t="str">
        <f t="shared" si="0"/>
        <v>NHATSMedicare Skilled Nursing Facility (SNF) Encounter Claims</v>
      </c>
      <c r="E28" s="15">
        <v>2015</v>
      </c>
      <c r="F28" s="15">
        <v>2019</v>
      </c>
    </row>
    <row r="29" spans="1:6" x14ac:dyDescent="0.45">
      <c r="A29" s="12" t="s">
        <v>89</v>
      </c>
      <c r="B29" s="15" t="s">
        <v>132</v>
      </c>
      <c r="C29" s="12" t="s">
        <v>103</v>
      </c>
      <c r="D29" s="12" t="str">
        <f t="shared" si="0"/>
        <v>NHATSMedicare Part D Medication Therapy Management (MTM)</v>
      </c>
      <c r="E29" s="15" t="s">
        <v>9</v>
      </c>
      <c r="F29" s="15" t="s">
        <v>9</v>
      </c>
    </row>
    <row r="30" spans="1:6" x14ac:dyDescent="0.45">
      <c r="A30" s="12" t="s">
        <v>89</v>
      </c>
      <c r="B30" s="15" t="s">
        <v>161</v>
      </c>
      <c r="C30" s="12" t="s">
        <v>109</v>
      </c>
      <c r="D30" s="12" t="str">
        <f t="shared" si="0"/>
        <v>NHATSMedicaid Analytic eXtract (MAX) Inpatient (IP) Claims</v>
      </c>
      <c r="E30" s="15">
        <v>2006</v>
      </c>
      <c r="F30" s="15">
        <v>2015</v>
      </c>
    </row>
    <row r="31" spans="1:6" x14ac:dyDescent="0.45">
      <c r="A31" s="12" t="s">
        <v>89</v>
      </c>
      <c r="B31" s="15" t="s">
        <v>161</v>
      </c>
      <c r="C31" s="12" t="s">
        <v>110</v>
      </c>
      <c r="D31" s="12" t="str">
        <f t="shared" si="0"/>
        <v>NHATSMedicaid Analytic eXtract (MAX) Long Term Care (LT) Claims</v>
      </c>
      <c r="E31" s="15">
        <v>2006</v>
      </c>
      <c r="F31" s="15">
        <v>2015</v>
      </c>
    </row>
    <row r="32" spans="1:6" x14ac:dyDescent="0.45">
      <c r="A32" s="12" t="s">
        <v>89</v>
      </c>
      <c r="B32" s="15" t="s">
        <v>161</v>
      </c>
      <c r="C32" s="12" t="s">
        <v>111</v>
      </c>
      <c r="D32" s="12" t="str">
        <f t="shared" si="0"/>
        <v>NHATSMedicaid Analytic eXtract (MAX) Other Services (OT) Claims</v>
      </c>
      <c r="E32" s="15">
        <v>2006</v>
      </c>
      <c r="F32" s="15">
        <v>2015</v>
      </c>
    </row>
    <row r="33" spans="1:6" x14ac:dyDescent="0.45">
      <c r="A33" s="12" t="s">
        <v>89</v>
      </c>
      <c r="B33" s="15" t="s">
        <v>161</v>
      </c>
      <c r="C33" s="12" t="s">
        <v>114</v>
      </c>
      <c r="D33" s="12" t="str">
        <f t="shared" si="0"/>
        <v>NHATSMedicaid Analytic eXtract (MAX) Prescription Drug (RX) Data</v>
      </c>
      <c r="E33" s="15">
        <v>2006</v>
      </c>
      <c r="F33" s="15">
        <v>2015</v>
      </c>
    </row>
    <row r="34" spans="1:6" x14ac:dyDescent="0.45">
      <c r="A34" s="12" t="s">
        <v>89</v>
      </c>
      <c r="B34" s="15" t="s">
        <v>161</v>
      </c>
      <c r="C34" s="12" t="s">
        <v>134</v>
      </c>
      <c r="D34" s="12" t="str">
        <f t="shared" si="0"/>
        <v>NHATSTMSIS Analytic Files (TAF) Inpatient (IP) Claims</v>
      </c>
      <c r="E34" s="15">
        <v>2014</v>
      </c>
      <c r="F34" s="15">
        <v>2019</v>
      </c>
    </row>
    <row r="35" spans="1:6" x14ac:dyDescent="0.45">
      <c r="A35" s="12" t="s">
        <v>89</v>
      </c>
      <c r="B35" s="15" t="s">
        <v>161</v>
      </c>
      <c r="C35" s="12" t="s">
        <v>135</v>
      </c>
      <c r="D35" s="12" t="str">
        <f t="shared" si="0"/>
        <v>NHATSTMSIS Analytic Files (TAF) Long Term Care (LT) Claims</v>
      </c>
      <c r="E35" s="15">
        <v>2014</v>
      </c>
      <c r="F35" s="15">
        <v>2019</v>
      </c>
    </row>
    <row r="36" spans="1:6" x14ac:dyDescent="0.45">
      <c r="A36" s="12" t="s">
        <v>89</v>
      </c>
      <c r="B36" s="15" t="s">
        <v>161</v>
      </c>
      <c r="C36" s="12" t="s">
        <v>136</v>
      </c>
      <c r="D36" s="12" t="str">
        <f t="shared" si="0"/>
        <v>NHATSTMSIS Analytic Files (TAF) Other Services (OT) Claims</v>
      </c>
      <c r="E36" s="15">
        <v>2014</v>
      </c>
      <c r="F36" s="15">
        <v>2019</v>
      </c>
    </row>
    <row r="37" spans="1:6" x14ac:dyDescent="0.45">
      <c r="A37" s="12" t="s">
        <v>89</v>
      </c>
      <c r="B37" s="15" t="s">
        <v>161</v>
      </c>
      <c r="C37" s="12" t="s">
        <v>137</v>
      </c>
      <c r="D37" s="12" t="str">
        <f t="shared" si="0"/>
        <v>NHATSTMSIS Analytic Files (TAF) Pharmacy (RX) Data</v>
      </c>
      <c r="E37" s="15">
        <v>2014</v>
      </c>
      <c r="F37" s="15">
        <v>2019</v>
      </c>
    </row>
    <row r="38" spans="1:6" x14ac:dyDescent="0.45">
      <c r="A38" s="12" t="s">
        <v>89</v>
      </c>
      <c r="B38" s="15" t="s">
        <v>132</v>
      </c>
      <c r="C38" s="12" t="s">
        <v>222</v>
      </c>
      <c r="D38" s="12" t="str">
        <f t="shared" si="0"/>
        <v>NHATSPDE</v>
      </c>
      <c r="E38" s="15">
        <v>2006</v>
      </c>
      <c r="F38" s="15">
        <v>2021</v>
      </c>
    </row>
    <row r="39" spans="1:6" x14ac:dyDescent="0.45">
      <c r="A39" s="12" t="s">
        <v>89</v>
      </c>
      <c r="B39" s="15" t="s">
        <v>266</v>
      </c>
      <c r="C39" s="15" t="s">
        <v>164</v>
      </c>
      <c r="D39" s="12" t="str">
        <f t="shared" si="0"/>
        <v>NHATSIRF-PAI</v>
      </c>
      <c r="E39" s="15">
        <v>2006</v>
      </c>
      <c r="F39" s="15">
        <v>2020</v>
      </c>
    </row>
    <row r="40" spans="1:6" x14ac:dyDescent="0.45">
      <c r="A40" s="12" t="s">
        <v>89</v>
      </c>
      <c r="B40" s="15" t="s">
        <v>266</v>
      </c>
      <c r="C40" s="15" t="s">
        <v>16</v>
      </c>
      <c r="D40" s="12" t="str">
        <f t="shared" si="0"/>
        <v>NHATSMDS</v>
      </c>
      <c r="E40" s="15">
        <v>2006</v>
      </c>
      <c r="F40" s="15">
        <v>2021</v>
      </c>
    </row>
    <row r="41" spans="1:6" x14ac:dyDescent="0.45">
      <c r="A41" s="12" t="s">
        <v>89</v>
      </c>
      <c r="B41" s="15" t="s">
        <v>266</v>
      </c>
      <c r="C41" s="15" t="s">
        <v>214</v>
      </c>
      <c r="D41" s="12" t="str">
        <f t="shared" si="0"/>
        <v>NHATSOASIS</v>
      </c>
      <c r="E41" s="15">
        <v>2006</v>
      </c>
      <c r="F41" s="15">
        <v>2020</v>
      </c>
    </row>
    <row r="42" spans="1:6" s="15" customFormat="1" x14ac:dyDescent="0.45">
      <c r="A42" s="12" t="s">
        <v>89</v>
      </c>
      <c r="B42" s="15" t="s">
        <v>494</v>
      </c>
      <c r="C42" s="15" t="s">
        <v>494</v>
      </c>
      <c r="D42" s="12" t="str">
        <f t="shared" si="0"/>
        <v>NHATSHEDIS</v>
      </c>
      <c r="E42" s="15" t="s">
        <v>9</v>
      </c>
      <c r="F42" s="15" t="s">
        <v>9</v>
      </c>
    </row>
    <row r="44" spans="1:6" x14ac:dyDescent="0.45">
      <c r="B44" t="s">
        <v>283</v>
      </c>
      <c r="C44" t="s">
        <v>284</v>
      </c>
    </row>
    <row r="45" spans="1:6" x14ac:dyDescent="0.45">
      <c r="B45" s="13"/>
      <c r="C45" s="13" t="s">
        <v>285</v>
      </c>
      <c r="D45" s="13" t="s">
        <v>285</v>
      </c>
      <c r="E45" s="13" t="s">
        <v>279</v>
      </c>
      <c r="F45" s="13" t="s">
        <v>280</v>
      </c>
    </row>
    <row r="46" spans="1:6" x14ac:dyDescent="0.45">
      <c r="B46" t="s">
        <v>21</v>
      </c>
      <c r="C46" t="s">
        <v>282</v>
      </c>
      <c r="D46" t="s">
        <v>281</v>
      </c>
      <c r="E46" t="str">
        <f>VLOOKUP(CONCATENATE(StudyName, 'File-Level_Request'!B23),Study_Data_Year_Lookup,2,FALSE)</f>
        <v>N/A</v>
      </c>
      <c r="F46" t="str">
        <f>VLOOKUP(CONCATENATE(StudyName, 'File-Level_Request'!B23),Study_Data_Year_Lookup,3,FALSE)</f>
        <v>N/A</v>
      </c>
    </row>
    <row r="47" spans="1:6" x14ac:dyDescent="0.45">
      <c r="B47" t="s">
        <v>149</v>
      </c>
      <c r="C47" t="s">
        <v>286</v>
      </c>
      <c r="D47" t="s">
        <v>287</v>
      </c>
      <c r="E47">
        <f>VLOOKUP(CONCATENATE(StudyName, 'File-Level_Request'!B24),Study_Data_Year_Lookup,2,FALSE)</f>
        <v>2006</v>
      </c>
      <c r="F47">
        <f>VLOOKUP(CONCATENATE(StudyName, 'File-Level_Request'!B24),Study_Data_Year_Lookup,3,FALSE)</f>
        <v>2021</v>
      </c>
    </row>
    <row r="48" spans="1:6" x14ac:dyDescent="0.45">
      <c r="B48" t="s">
        <v>150</v>
      </c>
      <c r="C48" t="s">
        <v>419</v>
      </c>
      <c r="D48" t="s">
        <v>420</v>
      </c>
      <c r="E48">
        <f>VLOOKUP(CONCATENATE(StudyName, 'File-Level_Request'!B30),Study_Data_Year_Lookup,2,FALSE)</f>
        <v>2006</v>
      </c>
      <c r="F48">
        <f>VLOOKUP(CONCATENATE(StudyName, 'File-Level_Request'!B30),Study_Data_Year_Lookup,3,FALSE)</f>
        <v>2020</v>
      </c>
    </row>
    <row r="49" spans="2:6" x14ac:dyDescent="0.45">
      <c r="B49" t="s">
        <v>151</v>
      </c>
      <c r="C49" t="s">
        <v>421</v>
      </c>
      <c r="D49" t="s">
        <v>422</v>
      </c>
      <c r="E49">
        <f>VLOOKUP(CONCATENATE(StudyName, 'File-Level_Request'!B31),Study_Data_Year_Lookup,2,FALSE)</f>
        <v>2006</v>
      </c>
      <c r="F49">
        <f>VLOOKUP(CONCATENATE(StudyName, 'File-Level_Request'!B31),Study_Data_Year_Lookup,3,FALSE)</f>
        <v>2020</v>
      </c>
    </row>
    <row r="50" spans="2:6" x14ac:dyDescent="0.45">
      <c r="B50" t="s">
        <v>152</v>
      </c>
      <c r="C50" t="s">
        <v>423</v>
      </c>
      <c r="D50" t="s">
        <v>424</v>
      </c>
      <c r="E50">
        <f>VLOOKUP(CONCATENATE(StudyName, 'File-Level_Request'!B32),Study_Data_Year_Lookup,2,FALSE)</f>
        <v>2006</v>
      </c>
      <c r="F50">
        <f>VLOOKUP(CONCATENATE(StudyName, 'File-Level_Request'!B32),Study_Data_Year_Lookup,3,FALSE)</f>
        <v>2020</v>
      </c>
    </row>
    <row r="51" spans="2:6" x14ac:dyDescent="0.45">
      <c r="B51" t="s">
        <v>112</v>
      </c>
      <c r="C51" t="s">
        <v>288</v>
      </c>
      <c r="D51" t="s">
        <v>313</v>
      </c>
      <c r="E51">
        <f>VLOOKUP(CONCATENATE(StudyName, 'File-Level_Request'!B38),Study_Data_Year_Lookup,2,FALSE)</f>
        <v>2006</v>
      </c>
      <c r="F51">
        <f>VLOOKUP(CONCATENATE(StudyName, 'File-Level_Request'!B38),Study_Data_Year_Lookup,3,FALSE)</f>
        <v>2015</v>
      </c>
    </row>
    <row r="52" spans="2:6" x14ac:dyDescent="0.45">
      <c r="B52" t="s">
        <v>133</v>
      </c>
      <c r="C52" t="s">
        <v>425</v>
      </c>
      <c r="D52" t="s">
        <v>426</v>
      </c>
      <c r="E52">
        <f>VLOOKUP(CONCATENATE(StudyName, 'File-Level_Request'!B39),Study_Data_Year_Lookup,2,FALSE)</f>
        <v>2014</v>
      </c>
      <c r="F52">
        <f>VLOOKUP(CONCATENATE(StudyName, 'File-Level_Request'!B39),Study_Data_Year_Lookup,3,FALSE)</f>
        <v>2019</v>
      </c>
    </row>
    <row r="53" spans="2:6" x14ac:dyDescent="0.45">
      <c r="B53" t="s">
        <v>289</v>
      </c>
      <c r="C53" t="s">
        <v>296</v>
      </c>
      <c r="D53" t="s">
        <v>314</v>
      </c>
      <c r="E53">
        <f>VLOOKUP(CONCATENATE(StudyName, 'File-Level_Request'!B45),Study_Data_Year_Lookup,2,FALSE)</f>
        <v>1991</v>
      </c>
      <c r="F53">
        <f>VLOOKUP(CONCATENATE(StudyName, 'File-Level_Request'!B45),Study_Data_Year_Lookup,3,FALSE)</f>
        <v>2021</v>
      </c>
    </row>
    <row r="54" spans="2:6" x14ac:dyDescent="0.45">
      <c r="B54" t="s">
        <v>290</v>
      </c>
      <c r="C54" t="s">
        <v>300</v>
      </c>
      <c r="D54" t="s">
        <v>315</v>
      </c>
      <c r="E54">
        <f>VLOOKUP(CONCATENATE(StudyName, 'File-Level_Request'!B46),Study_Data_Year_Lookup,2,FALSE)</f>
        <v>1991</v>
      </c>
      <c r="F54">
        <f>VLOOKUP(CONCATENATE(StudyName, 'File-Level_Request'!B46),Study_Data_Year_Lookup,3,FALSE)</f>
        <v>2021</v>
      </c>
    </row>
    <row r="55" spans="2:6" x14ac:dyDescent="0.45">
      <c r="B55" t="s">
        <v>291</v>
      </c>
      <c r="C55" t="s">
        <v>301</v>
      </c>
      <c r="D55" t="s">
        <v>316</v>
      </c>
      <c r="E55">
        <f>VLOOKUP(CONCATENATE(StudyName, 'File-Level_Request'!B47),Study_Data_Year_Lookup,2,FALSE)</f>
        <v>1991</v>
      </c>
      <c r="F55">
        <f>VLOOKUP(CONCATENATE(StudyName, 'File-Level_Request'!B47),Study_Data_Year_Lookup,3,FALSE)</f>
        <v>2021</v>
      </c>
    </row>
    <row r="56" spans="2:6" x14ac:dyDescent="0.45">
      <c r="B56" t="s">
        <v>292</v>
      </c>
      <c r="C56" t="s">
        <v>297</v>
      </c>
      <c r="D56" t="s">
        <v>317</v>
      </c>
      <c r="E56">
        <f>VLOOKUP(CONCATENATE(StudyName, 'File-Level_Request'!B48),Study_Data_Year_Lookup,2,FALSE)</f>
        <v>1991</v>
      </c>
      <c r="F56">
        <f>VLOOKUP(CONCATENATE(StudyName, 'File-Level_Request'!B48),Study_Data_Year_Lookup,3,FALSE)</f>
        <v>2021</v>
      </c>
    </row>
    <row r="57" spans="2:6" x14ac:dyDescent="0.45">
      <c r="B57" t="s">
        <v>293</v>
      </c>
      <c r="C57" t="s">
        <v>298</v>
      </c>
      <c r="D57" t="s">
        <v>318</v>
      </c>
      <c r="E57">
        <f>VLOOKUP(CONCATENATE(StudyName, 'File-Level_Request'!B49),Study_Data_Year_Lookup,2,FALSE)</f>
        <v>1991</v>
      </c>
      <c r="F57">
        <f>VLOOKUP(CONCATENATE(StudyName, 'File-Level_Request'!B49),Study_Data_Year_Lookup,3,FALSE)</f>
        <v>2021</v>
      </c>
    </row>
    <row r="58" spans="2:6" x14ac:dyDescent="0.45">
      <c r="B58" t="s">
        <v>294</v>
      </c>
      <c r="C58" t="s">
        <v>299</v>
      </c>
      <c r="D58" t="s">
        <v>319</v>
      </c>
      <c r="E58">
        <f>VLOOKUP(CONCATENATE(StudyName, 'File-Level_Request'!B50),Study_Data_Year_Lookup,2,FALSE)</f>
        <v>1991</v>
      </c>
      <c r="F58">
        <f>VLOOKUP(CONCATENATE(StudyName, 'File-Level_Request'!B50),Study_Data_Year_Lookup,3,FALSE)</f>
        <v>2021</v>
      </c>
    </row>
    <row r="59" spans="2:6" x14ac:dyDescent="0.45">
      <c r="B59" t="s">
        <v>295</v>
      </c>
      <c r="C59" t="s">
        <v>302</v>
      </c>
      <c r="D59" t="s">
        <v>320</v>
      </c>
      <c r="E59">
        <f>VLOOKUP(CONCATENATE(StudyName, 'File-Level_Request'!B51),Study_Data_Year_Lookup,2,FALSE)</f>
        <v>1991</v>
      </c>
      <c r="F59">
        <f>VLOOKUP(CONCATENATE(StudyName, 'File-Level_Request'!B51),Study_Data_Year_Lookup,3,FALSE)</f>
        <v>2021</v>
      </c>
    </row>
    <row r="60" spans="2:6" x14ac:dyDescent="0.45">
      <c r="B60" t="s">
        <v>508</v>
      </c>
      <c r="C60" t="s">
        <v>303</v>
      </c>
      <c r="D60" t="s">
        <v>321</v>
      </c>
      <c r="E60">
        <f>VLOOKUP(CONCATENATE(StudyName, 'File-Level_Request'!B52),Study_Data_Year_Lookup,2,FALSE)</f>
        <v>1991</v>
      </c>
      <c r="F60">
        <f>VLOOKUP(CONCATENATE(StudyName, 'File-Level_Request'!B52),Study_Data_Year_Lookup,3,FALSE)</f>
        <v>2020</v>
      </c>
    </row>
    <row r="61" spans="2:6" x14ac:dyDescent="0.45">
      <c r="B61" t="s">
        <v>126</v>
      </c>
      <c r="C61" t="s">
        <v>437</v>
      </c>
      <c r="D61" t="s">
        <v>438</v>
      </c>
      <c r="E61">
        <f>VLOOKUP(CONCATENATE(StudyName, 'File-Level_Request'!B58),Study_Data_Year_Lookup,2,FALSE)</f>
        <v>2015</v>
      </c>
      <c r="F61">
        <f>VLOOKUP(CONCATENATE(StudyName, 'File-Level_Request'!B58),Study_Data_Year_Lookup,3,FALSE)</f>
        <v>2019</v>
      </c>
    </row>
    <row r="62" spans="2:6" x14ac:dyDescent="0.45">
      <c r="B62" t="s">
        <v>127</v>
      </c>
      <c r="C62" t="s">
        <v>427</v>
      </c>
      <c r="D62" t="s">
        <v>428</v>
      </c>
      <c r="E62">
        <f>VLOOKUP(CONCATENATE(StudyName, 'File-Level_Request'!B59),Study_Data_Year_Lookup,2,FALSE)</f>
        <v>2015</v>
      </c>
      <c r="F62">
        <f>VLOOKUP(CONCATENATE(StudyName, 'File-Level_Request'!B59),Study_Data_Year_Lookup,3,FALSE)</f>
        <v>2019</v>
      </c>
    </row>
    <row r="63" spans="2:6" x14ac:dyDescent="0.45">
      <c r="B63" t="s">
        <v>128</v>
      </c>
      <c r="C63" t="s">
        <v>429</v>
      </c>
      <c r="D63" t="s">
        <v>430</v>
      </c>
      <c r="E63">
        <f>VLOOKUP(CONCATENATE(StudyName, 'File-Level_Request'!B60),Study_Data_Year_Lookup,2,FALSE)</f>
        <v>2015</v>
      </c>
      <c r="F63">
        <f>VLOOKUP(CONCATENATE(StudyName, 'File-Level_Request'!B60),Study_Data_Year_Lookup,3,FALSE)</f>
        <v>2019</v>
      </c>
    </row>
    <row r="64" spans="2:6" x14ac:dyDescent="0.45">
      <c r="B64" t="s">
        <v>129</v>
      </c>
      <c r="C64" t="s">
        <v>431</v>
      </c>
      <c r="D64" t="s">
        <v>432</v>
      </c>
      <c r="E64">
        <f>VLOOKUP(CONCATENATE(StudyName, 'File-Level_Request'!B61),Study_Data_Year_Lookup,2,FALSE)</f>
        <v>2015</v>
      </c>
      <c r="F64">
        <f>VLOOKUP(CONCATENATE(StudyName, 'File-Level_Request'!B61),Study_Data_Year_Lookup,3,FALSE)</f>
        <v>2019</v>
      </c>
    </row>
    <row r="65" spans="2:6" x14ac:dyDescent="0.45">
      <c r="B65" t="s">
        <v>130</v>
      </c>
      <c r="C65" t="s">
        <v>433</v>
      </c>
      <c r="D65" t="s">
        <v>434</v>
      </c>
      <c r="E65">
        <f>VLOOKUP(CONCATENATE(StudyName, 'File-Level_Request'!B62),Study_Data_Year_Lookup,2,FALSE)</f>
        <v>2015</v>
      </c>
      <c r="F65">
        <f>VLOOKUP(CONCATENATE(StudyName, 'File-Level_Request'!B62),Study_Data_Year_Lookup,3,FALSE)</f>
        <v>2019</v>
      </c>
    </row>
    <row r="66" spans="2:6" x14ac:dyDescent="0.45">
      <c r="B66" t="s">
        <v>131</v>
      </c>
      <c r="C66" t="s">
        <v>435</v>
      </c>
      <c r="D66" t="s">
        <v>436</v>
      </c>
      <c r="E66">
        <f>VLOOKUP(CONCATENATE(StudyName, 'File-Level_Request'!B63),Study_Data_Year_Lookup,2,FALSE)</f>
        <v>2015</v>
      </c>
      <c r="F66">
        <f>VLOOKUP(CONCATENATE(StudyName, 'File-Level_Request'!B63),Study_Data_Year_Lookup,3,FALSE)</f>
        <v>2019</v>
      </c>
    </row>
    <row r="67" spans="2:6" x14ac:dyDescent="0.45">
      <c r="B67" t="s">
        <v>103</v>
      </c>
      <c r="C67" t="s">
        <v>311</v>
      </c>
      <c r="D67" t="s">
        <v>322</v>
      </c>
      <c r="E67" t="str">
        <f>VLOOKUP(CONCATENATE(StudyName, 'File-Level_Request'!B69),Study_Data_Year_Lookup,2,FALSE)</f>
        <v>N/A</v>
      </c>
      <c r="F67" t="str">
        <f>VLOOKUP(CONCATENATE(StudyName, 'File-Level_Request'!B69),Study_Data_Year_Lookup,3,FALSE)</f>
        <v>N/A</v>
      </c>
    </row>
    <row r="68" spans="2:6" x14ac:dyDescent="0.45">
      <c r="B68" t="s">
        <v>109</v>
      </c>
      <c r="C68" t="s">
        <v>304</v>
      </c>
      <c r="D68" t="s">
        <v>323</v>
      </c>
      <c r="E68">
        <f>VLOOKUP(CONCATENATE(StudyName, 'File-Level_Request'!B82),Study_Data_Year_Lookup,2,FALSE)</f>
        <v>2006</v>
      </c>
      <c r="F68">
        <f>VLOOKUP(CONCATENATE(StudyName, 'File-Level_Request'!B82),Study_Data_Year_Lookup,3,FALSE)</f>
        <v>2015</v>
      </c>
    </row>
    <row r="69" spans="2:6" x14ac:dyDescent="0.45">
      <c r="B69" t="s">
        <v>110</v>
      </c>
      <c r="C69" t="s">
        <v>305</v>
      </c>
      <c r="D69" t="s">
        <v>324</v>
      </c>
      <c r="E69">
        <f>VLOOKUP(CONCATENATE(StudyName, 'File-Level_Request'!B83),Study_Data_Year_Lookup,2,FALSE)</f>
        <v>2006</v>
      </c>
      <c r="F69">
        <f>VLOOKUP(CONCATENATE(StudyName, 'File-Level_Request'!B83),Study_Data_Year_Lookup,3,FALSE)</f>
        <v>2015</v>
      </c>
    </row>
    <row r="70" spans="2:6" x14ac:dyDescent="0.45">
      <c r="B70" t="s">
        <v>111</v>
      </c>
      <c r="C70" t="s">
        <v>306</v>
      </c>
      <c r="D70" t="s">
        <v>325</v>
      </c>
      <c r="E70">
        <f>VLOOKUP(CONCATENATE(StudyName, 'File-Level_Request'!B84),Study_Data_Year_Lookup,2,FALSE)</f>
        <v>2006</v>
      </c>
      <c r="F70">
        <f>VLOOKUP(CONCATENATE(StudyName, 'File-Level_Request'!B84),Study_Data_Year_Lookup,3,FALSE)</f>
        <v>2015</v>
      </c>
    </row>
    <row r="71" spans="2:6" x14ac:dyDescent="0.45">
      <c r="B71" t="s">
        <v>114</v>
      </c>
      <c r="C71" t="s">
        <v>307</v>
      </c>
      <c r="D71" t="s">
        <v>326</v>
      </c>
      <c r="E71">
        <f>VLOOKUP(CONCATENATE(StudyName, 'File-Level_Request'!B85),Study_Data_Year_Lookup,2,FALSE)</f>
        <v>2006</v>
      </c>
      <c r="F71">
        <f>VLOOKUP(CONCATENATE(StudyName, 'File-Level_Request'!B85),Study_Data_Year_Lookup,3,FALSE)</f>
        <v>2015</v>
      </c>
    </row>
    <row r="72" spans="2:6" x14ac:dyDescent="0.45">
      <c r="B72" t="s">
        <v>134</v>
      </c>
      <c r="C72" t="s">
        <v>439</v>
      </c>
      <c r="D72" t="s">
        <v>440</v>
      </c>
      <c r="E72">
        <f>VLOOKUP(CONCATENATE(StudyName, 'File-Level_Request'!B86),Study_Data_Year_Lookup,2,FALSE)</f>
        <v>2014</v>
      </c>
      <c r="F72">
        <f>VLOOKUP(CONCATENATE(StudyName, 'File-Level_Request'!B86),Study_Data_Year_Lookup,3,FALSE)</f>
        <v>2019</v>
      </c>
    </row>
    <row r="73" spans="2:6" x14ac:dyDescent="0.45">
      <c r="B73" t="s">
        <v>135</v>
      </c>
      <c r="C73" t="s">
        <v>441</v>
      </c>
      <c r="D73" t="s">
        <v>442</v>
      </c>
      <c r="E73">
        <f>VLOOKUP(CONCATENATE(StudyName, 'File-Level_Request'!B87),Study_Data_Year_Lookup,2,FALSE)</f>
        <v>2014</v>
      </c>
      <c r="F73">
        <f>VLOOKUP(CONCATENATE(StudyName, 'File-Level_Request'!B87),Study_Data_Year_Lookup,3,FALSE)</f>
        <v>2019</v>
      </c>
    </row>
    <row r="74" spans="2:6" x14ac:dyDescent="0.45">
      <c r="B74" t="s">
        <v>136</v>
      </c>
      <c r="C74" t="s">
        <v>443</v>
      </c>
      <c r="D74" t="s">
        <v>444</v>
      </c>
      <c r="E74">
        <f>VLOOKUP(CONCATENATE(StudyName, 'File-Level_Request'!B88),Study_Data_Year_Lookup,2,FALSE)</f>
        <v>2014</v>
      </c>
      <c r="F74">
        <f>VLOOKUP(CONCATENATE(StudyName, 'File-Level_Request'!B88),Study_Data_Year_Lookup,3,FALSE)</f>
        <v>2019</v>
      </c>
    </row>
    <row r="75" spans="2:6" x14ac:dyDescent="0.45">
      <c r="B75" t="s">
        <v>137</v>
      </c>
      <c r="C75" t="s">
        <v>445</v>
      </c>
      <c r="D75" t="s">
        <v>446</v>
      </c>
      <c r="E75">
        <f>VLOOKUP(CONCATENATE(StudyName, 'File-Level_Request'!B89),Study_Data_Year_Lookup,2,FALSE)</f>
        <v>2014</v>
      </c>
      <c r="F75">
        <f>VLOOKUP(CONCATENATE(StudyName, 'File-Level_Request'!B89),Study_Data_Year_Lookup,3,FALSE)</f>
        <v>2019</v>
      </c>
    </row>
    <row r="76" spans="2:6" x14ac:dyDescent="0.45">
      <c r="B76" t="s">
        <v>222</v>
      </c>
      <c r="C76" t="s">
        <v>312</v>
      </c>
      <c r="D76" t="s">
        <v>327</v>
      </c>
      <c r="E76">
        <f>VLOOKUP(CONCATENATE(StudyName, B76),Study_Data_Year_Lookup,2,FALSE)</f>
        <v>2006</v>
      </c>
      <c r="F76">
        <f>VLOOKUP(CONCATENATE(StudyName, B76),Study_Data_Year_Lookup,3,FALSE)</f>
        <v>2021</v>
      </c>
    </row>
    <row r="77" spans="2:6" x14ac:dyDescent="0.45">
      <c r="B77" t="s">
        <v>164</v>
      </c>
      <c r="C77" t="s">
        <v>308</v>
      </c>
      <c r="D77" t="s">
        <v>328</v>
      </c>
      <c r="E77">
        <f>VLOOKUP(CONCATENATE(StudyName, B77),Study_Data_Year_Lookup,2,FALSE)</f>
        <v>2006</v>
      </c>
      <c r="F77">
        <f>VLOOKUP(CONCATENATE(StudyName, B77),Study_Data_Year_Lookup,3,FALSE)</f>
        <v>2020</v>
      </c>
    </row>
    <row r="78" spans="2:6" x14ac:dyDescent="0.45">
      <c r="B78" t="s">
        <v>16</v>
      </c>
      <c r="C78" t="s">
        <v>309</v>
      </c>
      <c r="D78" t="s">
        <v>329</v>
      </c>
      <c r="E78">
        <f>VLOOKUP(CONCATENATE(StudyName, B78),Study_Data_Year_Lookup,2,FALSE)</f>
        <v>2006</v>
      </c>
      <c r="F78">
        <f>VLOOKUP(CONCATENATE(StudyName, B78),Study_Data_Year_Lookup,3,FALSE)</f>
        <v>2021</v>
      </c>
    </row>
    <row r="79" spans="2:6" x14ac:dyDescent="0.45">
      <c r="B79" t="s">
        <v>214</v>
      </c>
      <c r="C79" t="s">
        <v>310</v>
      </c>
      <c r="D79" t="s">
        <v>330</v>
      </c>
      <c r="E79">
        <f>VLOOKUP(CONCATENATE(StudyName, B79),Study_Data_Year_Lookup,2,FALSE)</f>
        <v>2006</v>
      </c>
      <c r="F79">
        <f>VLOOKUP(CONCATENATE(StudyName, B79),Study_Data_Year_Lookup,3,FALSE)</f>
        <v>2020</v>
      </c>
    </row>
    <row r="80" spans="2:6" x14ac:dyDescent="0.45">
      <c r="B80" t="s">
        <v>156</v>
      </c>
      <c r="C80" t="s">
        <v>331</v>
      </c>
      <c r="D80" t="s">
        <v>332</v>
      </c>
      <c r="E80">
        <f>IF(DN_Min_Year="N/A",MBSF_Base_Min_Year,DN_Min_Year)</f>
        <v>2006</v>
      </c>
      <c r="F80">
        <f>IF(MBSF_Base_Max_Year="N/A", DN_Max_Year,MBSF_Base_Max_Year)</f>
        <v>2021</v>
      </c>
    </row>
    <row r="81" spans="2:6" x14ac:dyDescent="0.45">
      <c r="B81" s="1" t="s">
        <v>447</v>
      </c>
      <c r="C81" t="s">
        <v>448</v>
      </c>
      <c r="D81" t="s">
        <v>449</v>
      </c>
      <c r="E81">
        <f>IF(AND(MBSF_CC_Min_Year="N/A", MBSF_CU_Min_Year="N/A", MBSF_Other_Min_Year="N/A"),"N/A",MIN(E48:E50))</f>
        <v>2006</v>
      </c>
      <c r="F81">
        <f>IF(AND(MBSF_CC_Max_Year="N/A", MBSF_CU_Max_Year="N/A", MBSF_Other_Max_Year="N/A"),"N/A",MAX(F48:F50))</f>
        <v>2020</v>
      </c>
    </row>
    <row r="82" spans="2:6" x14ac:dyDescent="0.45">
      <c r="B82" t="s">
        <v>154</v>
      </c>
      <c r="C82" s="1" t="s">
        <v>334</v>
      </c>
      <c r="D82" s="1" t="s">
        <v>337</v>
      </c>
      <c r="E82">
        <f>IF(MAX_PS_Min_Year="N/A",TMSIS_DE_Min_Year,MAX_PS_Min_Year)</f>
        <v>2006</v>
      </c>
      <c r="F82">
        <f>IF(TMSIS_DE_Max_Year="N/A", MAX_PS_Max_Year,TMSIS_DE_Max_Year)</f>
        <v>2019</v>
      </c>
    </row>
    <row r="83" spans="2:6" x14ac:dyDescent="0.45">
      <c r="B83" t="s">
        <v>159</v>
      </c>
      <c r="C83" s="1" t="s">
        <v>338</v>
      </c>
      <c r="D83" s="1" t="s">
        <v>339</v>
      </c>
      <c r="E83">
        <f>IF(AND(AB_PB_Min_Year="N/A",AB_DM_Min_Year="N/A", AB_HH_Min_Year="N/A",AB_HS_Min_Year="N/A",AB_IP_Min_Year="N/A",AB_OP_Min_Year="N/A",AB_SN_Min_Year="N/A",MedPAR_Min_Year="N/A"),"N/A",MIN(E53:E60))</f>
        <v>1991</v>
      </c>
      <c r="F83">
        <f>IF(AND(AB_PB_Max_Year="N/A",AB_DM_Max_Year="N/A", AB_HH_Max_Year="N/A",AB_HS_Max_Year="N/A",AB_IP_Max_Year="N/A",AB_OP_Max_Year="N/A",AB_SN_Max_Year="N/A",MedPAR_Max_Year="N/A"),"N/A",MAX(F53:F60))</f>
        <v>2021</v>
      </c>
    </row>
    <row r="84" spans="2:6" x14ac:dyDescent="0.45">
      <c r="B84" t="s">
        <v>160</v>
      </c>
      <c r="C84" s="1" t="s">
        <v>450</v>
      </c>
      <c r="D84" s="1" t="s">
        <v>451</v>
      </c>
      <c r="E84">
        <f>IF(AND(C_Carrier_Min_Year="N/A",C_DME_Min_Year="N/A", C_HH_Min_Year="N/A",C_IP_Min_Year="N/A",C_OP_Min_Year="N/A",C_SNF_Min_Year="N/A"),"N/A",MIN(E61:E66))</f>
        <v>2015</v>
      </c>
      <c r="F84">
        <f>IF(AND(C_Carrier_Max_Year="N/A",C_DME_Max_Year="N/A", C_HH_Max_Year="N/A",C_IP_Max_Year="N/A",C_OP_Max_Year="N/A",C_SNF_Max_Year="N/A"),"N/A",MAX(F61:F66))</f>
        <v>2019</v>
      </c>
    </row>
    <row r="85" spans="2:6" x14ac:dyDescent="0.45">
      <c r="B85" t="s">
        <v>161</v>
      </c>
      <c r="C85" t="s">
        <v>335</v>
      </c>
      <c r="D85" t="s">
        <v>336</v>
      </c>
      <c r="E85">
        <f>IF(AND(MAX_IP_Min_Year="N/A",MAX_LT_Min_Year="N/A", MAX_OT_Min_Year="N/A",MAX_RX_Min_Year="N/A",TMSIS_IP_Min_Year="N/A",TMSIS_LT_Min_Year="N/A",TMSIS_OT_Min_Year="N/A",TMSIS_RX_Min_Year="N/A"),"N/A",MIN(E68:E75))</f>
        <v>2006</v>
      </c>
      <c r="F85">
        <f>IF(AND(MAX_IP_Max_Year="N/A",MAX_LT_Max_Year="N/A", MAX_OT_Max_Year="N/A",MAX_RX_Max_Year="N/A",TMSIS_IP_Max_Year="N/A",TMSIS_LT_Max_Year="N/A",TMSIS_OT_Max_Year="N/A",TMSIS_RX_Max_Year="N/A"),"N/A",MAX(F68:F75))</f>
        <v>2019</v>
      </c>
    </row>
    <row r="86" spans="2:6" x14ac:dyDescent="0.45">
      <c r="B86" t="s">
        <v>494</v>
      </c>
      <c r="C86" s="1" t="s">
        <v>495</v>
      </c>
      <c r="D86" s="1" t="s">
        <v>496</v>
      </c>
      <c r="E86" t="str">
        <f>VLOOKUP(CONCATENATE(StudyName, B86),Study_Data_Year_Lookup,2,FALSE)</f>
        <v>N/A</v>
      </c>
      <c r="F86" t="str">
        <f>VLOOKUP(CONCATENATE(StudyName, B86),Study_Data_Year_Lookup,3,FALSE)</f>
        <v>N/A</v>
      </c>
    </row>
  </sheetData>
  <sheetProtection algorithmName="SHA-512" hashValue="jVekiv5q1EUpxYRfDqJRZEwB0OSeYQM3+R5C+Ia78sJkk5ELHD+LRjQwYKZ+lWBMhIqnyBZdljiY+ft+gsT+iQ==" saltValue="mpP6ZFemQqm+QkjsoFupIw==" spinCount="100000" sheet="1" objects="1" scenarios="1" selectLockedCells="1" selectUnlockedCells="1"/>
  <autoFilter ref="A7:F42" xr:uid="{00000000-0009-0000-0000-00001000000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1"/>
  <dimension ref="B1:O21"/>
  <sheetViews>
    <sheetView showGridLines="0" zoomScale="70" zoomScaleNormal="70" workbookViewId="0"/>
  </sheetViews>
  <sheetFormatPr defaultColWidth="8.69140625" defaultRowHeight="17.5" x14ac:dyDescent="0.45"/>
  <cols>
    <col min="1" max="1" width="2.69140625" style="1" customWidth="1"/>
    <col min="2" max="2" width="53.69140625" style="1" customWidth="1"/>
    <col min="3" max="4" width="65.69140625" style="1" customWidth="1"/>
    <col min="5" max="5" width="26.4609375" style="1" customWidth="1"/>
    <col min="6" max="6" width="25.69140625" style="1" customWidth="1"/>
    <col min="7" max="7" width="26.69140625" style="1" customWidth="1"/>
    <col min="8" max="8" width="15.07421875" style="5" customWidth="1"/>
    <col min="9" max="9" width="17" style="5" customWidth="1"/>
    <col min="10" max="10" width="14.69140625" style="5" customWidth="1"/>
    <col min="11" max="11" width="8.69140625" style="5"/>
    <col min="12" max="12" width="13.07421875" style="5" customWidth="1"/>
    <col min="13" max="13" width="15" style="5" customWidth="1"/>
    <col min="14" max="14" width="12.69140625" style="5" customWidth="1"/>
    <col min="15" max="15" width="8.69140625" style="1"/>
    <col min="16" max="16" width="11" style="1" customWidth="1"/>
    <col min="17" max="17" width="8.69140625" style="1"/>
    <col min="18" max="18" width="11" style="1" customWidth="1"/>
    <col min="19" max="19" width="8.53515625" style="1" customWidth="1"/>
    <col min="20" max="16384" width="8.69140625" style="1"/>
  </cols>
  <sheetData>
    <row r="1" spans="2:15" ht="20" x14ac:dyDescent="0.45">
      <c r="B1" s="3" t="s">
        <v>7</v>
      </c>
    </row>
    <row r="2" spans="2:15" ht="30.75" customHeight="1" x14ac:dyDescent="0.45">
      <c r="B2" s="4" t="s">
        <v>8</v>
      </c>
    </row>
    <row r="3" spans="2:15" x14ac:dyDescent="0.45">
      <c r="B3" s="2"/>
      <c r="C3" s="2"/>
      <c r="D3" s="2"/>
    </row>
    <row r="4" spans="2:15" x14ac:dyDescent="0.45">
      <c r="B4" s="7" t="s">
        <v>165</v>
      </c>
      <c r="C4" s="7"/>
      <c r="D4" s="9"/>
      <c r="E4" s="5"/>
      <c r="F4" s="5"/>
      <c r="G4" s="5"/>
      <c r="O4" s="5"/>
    </row>
    <row r="5" spans="2:15" x14ac:dyDescent="0.45">
      <c r="B5" s="7" t="s">
        <v>24</v>
      </c>
      <c r="C5" s="10" t="s">
        <v>25</v>
      </c>
      <c r="D5" s="7" t="s">
        <v>267</v>
      </c>
      <c r="F5" s="5"/>
      <c r="G5" s="5"/>
      <c r="O5" s="5"/>
    </row>
    <row r="6" spans="2:15" x14ac:dyDescent="0.45">
      <c r="B6" s="8">
        <v>0</v>
      </c>
      <c r="F6" s="5"/>
      <c r="G6" s="5"/>
      <c r="O6" s="5"/>
    </row>
    <row r="7" spans="2:15" x14ac:dyDescent="0.45">
      <c r="B7" s="8">
        <v>1</v>
      </c>
      <c r="C7" s="1" t="s">
        <v>594</v>
      </c>
      <c r="D7" s="1" t="s">
        <v>89</v>
      </c>
      <c r="F7" s="16"/>
      <c r="G7" s="16"/>
      <c r="H7" s="16"/>
      <c r="I7" s="16"/>
      <c r="J7" s="16"/>
      <c r="K7" s="16"/>
      <c r="L7" s="16"/>
      <c r="M7" s="16"/>
      <c r="N7" s="16"/>
      <c r="O7" s="16"/>
    </row>
    <row r="8" spans="2:15" x14ac:dyDescent="0.45">
      <c r="B8" s="5"/>
      <c r="C8" s="5"/>
      <c r="D8" s="5"/>
      <c r="F8" s="5"/>
      <c r="G8" s="5"/>
      <c r="O8" s="5"/>
    </row>
    <row r="9" spans="2:15" x14ac:dyDescent="0.45">
      <c r="B9" s="7" t="s">
        <v>166</v>
      </c>
      <c r="C9" s="7" t="s">
        <v>169</v>
      </c>
    </row>
    <row r="10" spans="2:15" x14ac:dyDescent="0.45">
      <c r="B10" s="7" t="s">
        <v>168</v>
      </c>
      <c r="C10" s="7" t="s">
        <v>167</v>
      </c>
    </row>
    <row r="11" spans="2:15" x14ac:dyDescent="0.45">
      <c r="B11" s="1">
        <v>0</v>
      </c>
      <c r="C11" s="1" t="s">
        <v>19</v>
      </c>
      <c r="D11" s="1" t="s">
        <v>0</v>
      </c>
    </row>
    <row r="12" spans="2:15" x14ac:dyDescent="0.45">
      <c r="B12" s="1" t="s">
        <v>12</v>
      </c>
      <c r="C12" s="1" t="s">
        <v>12</v>
      </c>
    </row>
    <row r="13" spans="2:15" x14ac:dyDescent="0.45">
      <c r="B13" s="1" t="s">
        <v>13</v>
      </c>
      <c r="C13" s="1" t="s">
        <v>13</v>
      </c>
      <c r="D13" s="1" t="s">
        <v>0</v>
      </c>
    </row>
    <row r="14" spans="2:15" x14ac:dyDescent="0.45">
      <c r="B14" s="1" t="s">
        <v>15</v>
      </c>
      <c r="C14" s="1" t="s">
        <v>45</v>
      </c>
      <c r="D14" s="1" t="s">
        <v>19</v>
      </c>
      <c r="E14" s="5" t="s">
        <v>0</v>
      </c>
    </row>
    <row r="15" spans="2:15" x14ac:dyDescent="0.45">
      <c r="B15" s="1" t="s">
        <v>14</v>
      </c>
      <c r="C15" s="1" t="s">
        <v>26</v>
      </c>
      <c r="D15" s="1" t="s">
        <v>27</v>
      </c>
      <c r="E15" s="5" t="s">
        <v>18</v>
      </c>
    </row>
    <row r="16" spans="2:15" x14ac:dyDescent="0.45">
      <c r="B16" s="1" t="s">
        <v>452</v>
      </c>
      <c r="C16" s="1" t="s">
        <v>45</v>
      </c>
      <c r="D16" s="1" t="s">
        <v>27</v>
      </c>
      <c r="E16" s="1" t="s">
        <v>28</v>
      </c>
    </row>
    <row r="17" spans="2:5" x14ac:dyDescent="0.45">
      <c r="B17" s="1" t="s">
        <v>453</v>
      </c>
      <c r="C17" s="1" t="s">
        <v>45</v>
      </c>
      <c r="D17" s="1" t="s">
        <v>27</v>
      </c>
      <c r="E17" s="5"/>
    </row>
    <row r="18" spans="2:5" x14ac:dyDescent="0.45">
      <c r="B18" s="1" t="s">
        <v>6</v>
      </c>
      <c r="C18" s="1" t="s">
        <v>6</v>
      </c>
      <c r="D18" s="1" t="s">
        <v>27</v>
      </c>
      <c r="E18" s="5"/>
    </row>
    <row r="19" spans="2:5" ht="35" x14ac:dyDescent="0.45">
      <c r="C19" s="1" t="s">
        <v>396</v>
      </c>
      <c r="D19" s="1" t="s">
        <v>27</v>
      </c>
      <c r="E19" s="5"/>
    </row>
    <row r="20" spans="2:5" x14ac:dyDescent="0.45">
      <c r="C20" s="1" t="s">
        <v>46</v>
      </c>
      <c r="E20" s="5"/>
    </row>
    <row r="21" spans="2:5" x14ac:dyDescent="0.45">
      <c r="C21" s="1" t="s">
        <v>37</v>
      </c>
    </row>
  </sheetData>
  <sheetProtection algorithmName="SHA-512" hashValue="eZBEJ3hOSIx93TmPzAO8muu0BMegFK6rftdqnRvwsdnq0i32C0shfRKXSuZkvIcpyXlhJVdNEG6TwwpbLZmaLg==" saltValue="O/tqcnEnIM6qyPZFAZqYLw==" spinCount="100000" sheet="1" objects="1" scenarios="1" selectLockedCells="1" selectUnlockedCells="1"/>
  <customSheetViews>
    <customSheetView guid="{9DB63C14-8C2E-43D7-ACAD-1DD967C25093}" scale="85" showGridLines="0" topLeftCell="A259">
      <selection activeCell="C288" sqref="C288:C293"/>
      <pageMargins left="0.7" right="0.7" top="0.75" bottom="0.75" header="0.3" footer="0.3"/>
      <pageSetup orientation="portrait" r:id="rId1"/>
    </customSheetView>
  </customSheetView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I243"/>
  <sheetViews>
    <sheetView zoomScale="70" zoomScaleNormal="70" workbookViewId="0">
      <pane ySplit="3" topLeftCell="A4" activePane="bottomLeft" state="frozen"/>
      <selection pane="bottomLeft" activeCell="I5" sqref="I5"/>
    </sheetView>
  </sheetViews>
  <sheetFormatPr defaultColWidth="9.07421875" defaultRowHeight="17.5" x14ac:dyDescent="0.45"/>
  <cols>
    <col min="1" max="2" width="9.07421875" style="6"/>
    <col min="3" max="3" width="95" style="6" bestFit="1" customWidth="1"/>
    <col min="4" max="4" width="18.69140625" style="6" customWidth="1"/>
    <col min="5" max="5" width="11.07421875" style="6" bestFit="1" customWidth="1"/>
    <col min="6" max="6" width="12.07421875" style="6" bestFit="1" customWidth="1"/>
    <col min="7" max="7" width="11.07421875" style="6" bestFit="1" customWidth="1"/>
    <col min="8" max="8" width="9.07421875" style="6"/>
    <col min="9" max="9" width="13.07421875" style="6" bestFit="1" customWidth="1"/>
    <col min="10" max="16384" width="9.07421875" style="6"/>
  </cols>
  <sheetData>
    <row r="1" spans="1:9" ht="20" x14ac:dyDescent="0.45">
      <c r="A1" s="3" t="s">
        <v>7</v>
      </c>
    </row>
    <row r="2" spans="1:9" ht="20" x14ac:dyDescent="0.45">
      <c r="A2" s="3" t="s">
        <v>341</v>
      </c>
    </row>
    <row r="3" spans="1:9" x14ac:dyDescent="0.45">
      <c r="A3" s="11" t="s">
        <v>79</v>
      </c>
      <c r="B3" s="11" t="s">
        <v>80</v>
      </c>
      <c r="C3" s="11" t="s">
        <v>57</v>
      </c>
      <c r="D3" s="11" t="s">
        <v>81</v>
      </c>
      <c r="E3" s="11" t="s">
        <v>5</v>
      </c>
      <c r="F3" s="11" t="s">
        <v>33</v>
      </c>
      <c r="G3" s="11" t="s">
        <v>34</v>
      </c>
      <c r="I3" s="6" t="s">
        <v>76</v>
      </c>
    </row>
    <row r="4" spans="1:9" x14ac:dyDescent="0.45">
      <c r="A4" s="6" t="s">
        <v>2</v>
      </c>
      <c r="B4" s="6" t="s">
        <v>44</v>
      </c>
      <c r="C4" s="6" t="s">
        <v>58</v>
      </c>
      <c r="D4" s="6" t="str">
        <f>CONCATENATE(B4,C4)</f>
        <v>HRSSocial Security Number</v>
      </c>
      <c r="E4" s="17" t="s">
        <v>14</v>
      </c>
      <c r="F4" s="17" t="s">
        <v>14</v>
      </c>
      <c r="G4" s="17" t="s">
        <v>14</v>
      </c>
      <c r="I4" s="6" t="s">
        <v>44</v>
      </c>
    </row>
    <row r="5" spans="1:9" x14ac:dyDescent="0.45">
      <c r="A5" s="6" t="s">
        <v>2</v>
      </c>
      <c r="B5" s="6" t="s">
        <v>44</v>
      </c>
      <c r="C5" s="6" t="s">
        <v>59</v>
      </c>
      <c r="D5" s="6" t="str">
        <f t="shared" ref="D5:D68" si="0">CONCATENATE(B5,C5)</f>
        <v>HRSMedicare or Medicaid Beneficiary Number</v>
      </c>
      <c r="E5" s="17" t="s">
        <v>14</v>
      </c>
      <c r="F5" s="17" t="s">
        <v>14</v>
      </c>
      <c r="G5" s="17" t="s">
        <v>14</v>
      </c>
      <c r="I5" s="6" t="s">
        <v>17</v>
      </c>
    </row>
    <row r="6" spans="1:9" x14ac:dyDescent="0.45">
      <c r="A6" s="6" t="s">
        <v>2</v>
      </c>
      <c r="B6" s="6" t="s">
        <v>44</v>
      </c>
      <c r="C6" s="6" t="s">
        <v>60</v>
      </c>
      <c r="D6" s="6" t="str">
        <f t="shared" si="0"/>
        <v>HRSSurname</v>
      </c>
      <c r="E6" s="17" t="s">
        <v>14</v>
      </c>
      <c r="F6" s="17" t="s">
        <v>14</v>
      </c>
      <c r="G6" s="17" t="s">
        <v>14</v>
      </c>
      <c r="I6" s="6" t="s">
        <v>47</v>
      </c>
    </row>
    <row r="7" spans="1:9" x14ac:dyDescent="0.45">
      <c r="A7" s="6" t="s">
        <v>2</v>
      </c>
      <c r="B7" s="6" t="s">
        <v>44</v>
      </c>
      <c r="C7" s="6" t="s">
        <v>61</v>
      </c>
      <c r="D7" s="6" t="str">
        <f t="shared" si="0"/>
        <v>HRSBeneficiary Identification Number (BID) [Random]</v>
      </c>
      <c r="E7" s="17" t="s">
        <v>12</v>
      </c>
      <c r="F7" s="17" t="s">
        <v>12</v>
      </c>
      <c r="G7" s="17" t="s">
        <v>12</v>
      </c>
      <c r="I7" s="6" t="s">
        <v>82</v>
      </c>
    </row>
    <row r="8" spans="1:9" x14ac:dyDescent="0.45">
      <c r="A8" s="6" t="s">
        <v>2</v>
      </c>
      <c r="B8" s="6" t="s">
        <v>44</v>
      </c>
      <c r="C8" s="6" t="s">
        <v>77</v>
      </c>
      <c r="D8" s="6" t="str">
        <f t="shared" si="0"/>
        <v>HRSDate of Birth</v>
      </c>
      <c r="E8" s="18" t="s">
        <v>62</v>
      </c>
      <c r="F8" s="18" t="s">
        <v>62</v>
      </c>
      <c r="G8" s="18" t="s">
        <v>62</v>
      </c>
      <c r="I8" s="6" t="s">
        <v>83</v>
      </c>
    </row>
    <row r="9" spans="1:9" x14ac:dyDescent="0.45">
      <c r="A9" s="6" t="s">
        <v>2</v>
      </c>
      <c r="B9" s="6" t="s">
        <v>44</v>
      </c>
      <c r="C9" s="6" t="s">
        <v>78</v>
      </c>
      <c r="D9" s="6" t="str">
        <f t="shared" si="0"/>
        <v>HRSGender/Race</v>
      </c>
      <c r="E9" s="18" t="s">
        <v>62</v>
      </c>
      <c r="F9" s="18" t="s">
        <v>62</v>
      </c>
      <c r="G9" s="18" t="s">
        <v>62</v>
      </c>
      <c r="I9" s="6" t="s">
        <v>84</v>
      </c>
    </row>
    <row r="10" spans="1:9" x14ac:dyDescent="0.45">
      <c r="A10" s="6" t="s">
        <v>2</v>
      </c>
      <c r="B10" s="6" t="s">
        <v>44</v>
      </c>
      <c r="C10" s="6" t="s">
        <v>63</v>
      </c>
      <c r="D10" s="6" t="str">
        <f t="shared" si="0"/>
        <v>HRSExact Dates of Service</v>
      </c>
      <c r="E10" s="18" t="s">
        <v>62</v>
      </c>
      <c r="F10" s="18" t="s">
        <v>62</v>
      </c>
      <c r="G10" s="18" t="s">
        <v>62</v>
      </c>
      <c r="I10" s="6" t="s">
        <v>85</v>
      </c>
    </row>
    <row r="11" spans="1:9" x14ac:dyDescent="0.45">
      <c r="A11" s="6" t="s">
        <v>2</v>
      </c>
      <c r="B11" s="6" t="s">
        <v>44</v>
      </c>
      <c r="C11" s="6" t="s">
        <v>64</v>
      </c>
      <c r="D11" s="6" t="str">
        <f t="shared" si="0"/>
        <v>HRSBeneficiary State Code/County Code/Zip Code</v>
      </c>
      <c r="E11" s="18" t="s">
        <v>13</v>
      </c>
      <c r="F11" s="18" t="s">
        <v>62</v>
      </c>
      <c r="G11" s="18" t="s">
        <v>62</v>
      </c>
      <c r="I11" s="6" t="s">
        <v>86</v>
      </c>
    </row>
    <row r="12" spans="1:9" x14ac:dyDescent="0.45">
      <c r="A12" s="6" t="s">
        <v>2</v>
      </c>
      <c r="B12" s="6" t="s">
        <v>44</v>
      </c>
      <c r="C12" s="6" t="s">
        <v>65</v>
      </c>
      <c r="D12" s="6" t="str">
        <f t="shared" si="0"/>
        <v>HRSProvider Characteristics (e.g., National Provider Identifiers (NPIs), Unique Provider Identification Numbers (UPINs))</v>
      </c>
      <c r="E12" s="17" t="s">
        <v>12</v>
      </c>
      <c r="F12" s="17" t="s">
        <v>12</v>
      </c>
      <c r="G12" s="18" t="s">
        <v>62</v>
      </c>
      <c r="I12" s="6" t="s">
        <v>87</v>
      </c>
    </row>
    <row r="13" spans="1:9" x14ac:dyDescent="0.45">
      <c r="A13" s="6" t="s">
        <v>2</v>
      </c>
      <c r="B13" s="6" t="s">
        <v>44</v>
      </c>
      <c r="C13" s="6" t="s">
        <v>66</v>
      </c>
      <c r="D13" s="6" t="str">
        <f t="shared" si="0"/>
        <v>HRSCMS Certification Number (CCN)</v>
      </c>
      <c r="E13" s="17" t="s">
        <v>12</v>
      </c>
      <c r="F13" s="17" t="s">
        <v>12</v>
      </c>
      <c r="G13" s="18" t="s">
        <v>62</v>
      </c>
      <c r="I13" s="6" t="s">
        <v>11</v>
      </c>
    </row>
    <row r="14" spans="1:9" x14ac:dyDescent="0.45">
      <c r="A14" s="6" t="s">
        <v>2</v>
      </c>
      <c r="B14" s="6" t="s">
        <v>44</v>
      </c>
      <c r="C14" s="6" t="s">
        <v>67</v>
      </c>
      <c r="D14" s="6" t="str">
        <f t="shared" si="0"/>
        <v>HRSHospitals/Facilities</v>
      </c>
      <c r="E14" s="17" t="s">
        <v>12</v>
      </c>
      <c r="F14" s="17" t="s">
        <v>12</v>
      </c>
      <c r="G14" s="18" t="s">
        <v>62</v>
      </c>
      <c r="I14" s="6" t="s">
        <v>88</v>
      </c>
    </row>
    <row r="15" spans="1:9" x14ac:dyDescent="0.45">
      <c r="A15" s="6" t="s">
        <v>2</v>
      </c>
      <c r="B15" s="6" t="s">
        <v>44</v>
      </c>
      <c r="C15" s="6" t="s">
        <v>68</v>
      </c>
      <c r="D15" s="6" t="str">
        <f t="shared" si="0"/>
        <v>HRSPart C/D Health Plans</v>
      </c>
      <c r="E15" s="17" t="s">
        <v>45</v>
      </c>
      <c r="F15" s="17" t="s">
        <v>45</v>
      </c>
      <c r="G15" s="18" t="s">
        <v>62</v>
      </c>
      <c r="I15" s="6" t="s">
        <v>89</v>
      </c>
    </row>
    <row r="16" spans="1:9" x14ac:dyDescent="0.45">
      <c r="A16" s="6" t="s">
        <v>4</v>
      </c>
      <c r="B16" s="6" t="s">
        <v>17</v>
      </c>
      <c r="C16" s="6" t="s">
        <v>58</v>
      </c>
      <c r="D16" s="6" t="str">
        <f t="shared" si="0"/>
        <v>PSADSocial Security Number</v>
      </c>
      <c r="E16" s="17" t="s">
        <v>14</v>
      </c>
      <c r="F16" s="17" t="s">
        <v>9</v>
      </c>
      <c r="G16" s="17" t="s">
        <v>9</v>
      </c>
      <c r="I16" s="6" t="s">
        <v>10</v>
      </c>
    </row>
    <row r="17" spans="1:9" x14ac:dyDescent="0.45">
      <c r="A17" s="6" t="s">
        <v>4</v>
      </c>
      <c r="B17" s="6" t="s">
        <v>17</v>
      </c>
      <c r="C17" s="6" t="s">
        <v>59</v>
      </c>
      <c r="D17" s="6" t="str">
        <f t="shared" si="0"/>
        <v>PSADMedicare or Medicaid Beneficiary Number</v>
      </c>
      <c r="E17" s="17" t="s">
        <v>14</v>
      </c>
      <c r="F17" s="17" t="s">
        <v>9</v>
      </c>
      <c r="G17" s="17" t="s">
        <v>9</v>
      </c>
      <c r="I17" s="6" t="s">
        <v>90</v>
      </c>
    </row>
    <row r="18" spans="1:9" x14ac:dyDescent="0.45">
      <c r="A18" s="6" t="s">
        <v>4</v>
      </c>
      <c r="B18" s="6" t="s">
        <v>17</v>
      </c>
      <c r="C18" s="6" t="s">
        <v>60</v>
      </c>
      <c r="D18" s="6" t="str">
        <f t="shared" si="0"/>
        <v>PSADSurname</v>
      </c>
      <c r="E18" s="17" t="s">
        <v>14</v>
      </c>
      <c r="F18" s="17" t="s">
        <v>9</v>
      </c>
      <c r="G18" s="17" t="s">
        <v>9</v>
      </c>
      <c r="I18" s="6" t="s">
        <v>91</v>
      </c>
    </row>
    <row r="19" spans="1:9" x14ac:dyDescent="0.45">
      <c r="A19" s="6" t="s">
        <v>4</v>
      </c>
      <c r="B19" s="6" t="s">
        <v>17</v>
      </c>
      <c r="C19" s="6" t="s">
        <v>61</v>
      </c>
      <c r="D19" s="6" t="str">
        <f t="shared" si="0"/>
        <v>PSADBeneficiary Identification Number (BID) [Random]</v>
      </c>
      <c r="E19" s="17" t="s">
        <v>12</v>
      </c>
      <c r="F19" s="17" t="s">
        <v>9</v>
      </c>
      <c r="G19" s="17" t="s">
        <v>9</v>
      </c>
      <c r="I19" s="6" t="s">
        <v>92</v>
      </c>
    </row>
    <row r="20" spans="1:9" x14ac:dyDescent="0.45">
      <c r="A20" s="6" t="s">
        <v>4</v>
      </c>
      <c r="B20" s="6" t="s">
        <v>17</v>
      </c>
      <c r="C20" s="6" t="s">
        <v>77</v>
      </c>
      <c r="D20" s="6" t="str">
        <f t="shared" si="0"/>
        <v>PSADDate of Birth</v>
      </c>
      <c r="E20" s="18" t="s">
        <v>62</v>
      </c>
      <c r="F20" s="17" t="s">
        <v>9</v>
      </c>
      <c r="G20" s="17" t="s">
        <v>9</v>
      </c>
      <c r="I20" s="6" t="s">
        <v>93</v>
      </c>
    </row>
    <row r="21" spans="1:9" x14ac:dyDescent="0.45">
      <c r="A21" s="6" t="s">
        <v>4</v>
      </c>
      <c r="B21" s="6" t="s">
        <v>17</v>
      </c>
      <c r="C21" s="6" t="s">
        <v>78</v>
      </c>
      <c r="D21" s="6" t="str">
        <f t="shared" si="0"/>
        <v>PSADGender/Race</v>
      </c>
      <c r="E21" s="18" t="s">
        <v>62</v>
      </c>
      <c r="F21" s="17" t="s">
        <v>9</v>
      </c>
      <c r="G21" s="17" t="s">
        <v>9</v>
      </c>
      <c r="I21" s="6" t="s">
        <v>94</v>
      </c>
    </row>
    <row r="22" spans="1:9" x14ac:dyDescent="0.45">
      <c r="A22" s="6" t="s">
        <v>4</v>
      </c>
      <c r="B22" s="6" t="s">
        <v>17</v>
      </c>
      <c r="C22" s="6" t="s">
        <v>63</v>
      </c>
      <c r="D22" s="6" t="str">
        <f t="shared" si="0"/>
        <v>PSADExact Dates of Service</v>
      </c>
      <c r="E22" s="18" t="s">
        <v>62</v>
      </c>
      <c r="F22" s="17" t="s">
        <v>9</v>
      </c>
      <c r="G22" s="17" t="s">
        <v>9</v>
      </c>
      <c r="I22" s="6" t="s">
        <v>95</v>
      </c>
    </row>
    <row r="23" spans="1:9" x14ac:dyDescent="0.45">
      <c r="A23" s="6" t="s">
        <v>4</v>
      </c>
      <c r="B23" s="6" t="s">
        <v>17</v>
      </c>
      <c r="C23" s="6" t="s">
        <v>64</v>
      </c>
      <c r="D23" s="6" t="str">
        <f t="shared" si="0"/>
        <v>PSADBeneficiary State Code/County Code/Zip Code</v>
      </c>
      <c r="E23" s="18" t="s">
        <v>13</v>
      </c>
      <c r="F23" s="17" t="s">
        <v>9</v>
      </c>
      <c r="G23" s="17" t="s">
        <v>9</v>
      </c>
    </row>
    <row r="24" spans="1:9" x14ac:dyDescent="0.45">
      <c r="A24" s="6" t="s">
        <v>4</v>
      </c>
      <c r="B24" s="6" t="s">
        <v>17</v>
      </c>
      <c r="C24" s="6" t="s">
        <v>65</v>
      </c>
      <c r="D24" s="6" t="str">
        <f t="shared" si="0"/>
        <v>PSADProvider Characteristics (e.g., National Provider Identifiers (NPIs), Unique Provider Identification Numbers (UPINs))</v>
      </c>
      <c r="E24" s="17" t="s">
        <v>12</v>
      </c>
      <c r="F24" s="17" t="s">
        <v>9</v>
      </c>
      <c r="G24" s="17" t="s">
        <v>9</v>
      </c>
    </row>
    <row r="25" spans="1:9" x14ac:dyDescent="0.45">
      <c r="A25" s="6" t="s">
        <v>4</v>
      </c>
      <c r="B25" s="6" t="s">
        <v>17</v>
      </c>
      <c r="C25" s="6" t="s">
        <v>66</v>
      </c>
      <c r="D25" s="6" t="str">
        <f t="shared" si="0"/>
        <v>PSADCMS Certification Number (CCN)</v>
      </c>
      <c r="E25" s="17" t="s">
        <v>12</v>
      </c>
      <c r="F25" s="17" t="s">
        <v>9</v>
      </c>
      <c r="G25" s="17" t="s">
        <v>9</v>
      </c>
    </row>
    <row r="26" spans="1:9" x14ac:dyDescent="0.45">
      <c r="A26" s="6" t="s">
        <v>4</v>
      </c>
      <c r="B26" s="6" t="s">
        <v>17</v>
      </c>
      <c r="C26" s="6" t="s">
        <v>67</v>
      </c>
      <c r="D26" s="6" t="str">
        <f t="shared" si="0"/>
        <v>PSADHospitals/Facilities</v>
      </c>
      <c r="E26" s="17" t="s">
        <v>12</v>
      </c>
      <c r="F26" s="17" t="s">
        <v>9</v>
      </c>
      <c r="G26" s="17" t="s">
        <v>9</v>
      </c>
    </row>
    <row r="27" spans="1:9" x14ac:dyDescent="0.45">
      <c r="A27" s="6" t="s">
        <v>4</v>
      </c>
      <c r="B27" s="6" t="s">
        <v>17</v>
      </c>
      <c r="C27" s="6" t="s">
        <v>68</v>
      </c>
      <c r="D27" s="6" t="str">
        <f t="shared" si="0"/>
        <v>PSADPart C/D Health Plans</v>
      </c>
      <c r="E27" s="17" t="s">
        <v>45</v>
      </c>
      <c r="F27" s="17" t="s">
        <v>9</v>
      </c>
      <c r="G27" s="17" t="s">
        <v>9</v>
      </c>
    </row>
    <row r="28" spans="1:9" x14ac:dyDescent="0.45">
      <c r="A28" s="6" t="s">
        <v>3</v>
      </c>
      <c r="B28" s="6" t="s">
        <v>47</v>
      </c>
      <c r="C28" s="6" t="s">
        <v>58</v>
      </c>
      <c r="D28" s="6" t="str">
        <f t="shared" si="0"/>
        <v>WLSSocial Security Number</v>
      </c>
      <c r="E28" s="17" t="s">
        <v>14</v>
      </c>
      <c r="F28" s="17" t="s">
        <v>14</v>
      </c>
      <c r="G28" s="17" t="s">
        <v>14</v>
      </c>
    </row>
    <row r="29" spans="1:9" x14ac:dyDescent="0.45">
      <c r="A29" s="6" t="s">
        <v>3</v>
      </c>
      <c r="B29" s="6" t="s">
        <v>47</v>
      </c>
      <c r="C29" s="6" t="s">
        <v>59</v>
      </c>
      <c r="D29" s="6" t="str">
        <f t="shared" si="0"/>
        <v>WLSMedicare or Medicaid Beneficiary Number</v>
      </c>
      <c r="E29" s="17" t="s">
        <v>14</v>
      </c>
      <c r="F29" s="17" t="s">
        <v>14</v>
      </c>
      <c r="G29" s="17" t="s">
        <v>14</v>
      </c>
    </row>
    <row r="30" spans="1:9" x14ac:dyDescent="0.45">
      <c r="A30" s="6" t="s">
        <v>3</v>
      </c>
      <c r="B30" s="6" t="s">
        <v>47</v>
      </c>
      <c r="C30" s="6" t="s">
        <v>60</v>
      </c>
      <c r="D30" s="6" t="str">
        <f t="shared" si="0"/>
        <v>WLSSurname</v>
      </c>
      <c r="E30" s="17" t="s">
        <v>14</v>
      </c>
      <c r="F30" s="17" t="s">
        <v>14</v>
      </c>
      <c r="G30" s="17" t="s">
        <v>14</v>
      </c>
    </row>
    <row r="31" spans="1:9" x14ac:dyDescent="0.45">
      <c r="A31" s="6" t="s">
        <v>3</v>
      </c>
      <c r="B31" s="6" t="s">
        <v>47</v>
      </c>
      <c r="C31" s="6" t="s">
        <v>61</v>
      </c>
      <c r="D31" s="6" t="str">
        <f t="shared" si="0"/>
        <v>WLSBeneficiary Identification Number (BID) [Random]</v>
      </c>
      <c r="E31" s="17" t="s">
        <v>12</v>
      </c>
      <c r="F31" s="17" t="s">
        <v>12</v>
      </c>
      <c r="G31" s="17" t="s">
        <v>12</v>
      </c>
    </row>
    <row r="32" spans="1:9" x14ac:dyDescent="0.45">
      <c r="A32" s="6" t="s">
        <v>3</v>
      </c>
      <c r="B32" s="6" t="s">
        <v>47</v>
      </c>
      <c r="C32" s="6" t="s">
        <v>77</v>
      </c>
      <c r="D32" s="6" t="str">
        <f t="shared" si="0"/>
        <v>WLSDate of Birth</v>
      </c>
      <c r="E32" s="18" t="s">
        <v>62</v>
      </c>
      <c r="F32" s="18" t="s">
        <v>62</v>
      </c>
      <c r="G32" s="18" t="s">
        <v>62</v>
      </c>
    </row>
    <row r="33" spans="1:7" x14ac:dyDescent="0.45">
      <c r="A33" s="6" t="s">
        <v>3</v>
      </c>
      <c r="B33" s="6" t="s">
        <v>47</v>
      </c>
      <c r="C33" s="6" t="s">
        <v>78</v>
      </c>
      <c r="D33" s="6" t="str">
        <f t="shared" si="0"/>
        <v>WLSGender/Race</v>
      </c>
      <c r="E33" s="18" t="s">
        <v>62</v>
      </c>
      <c r="F33" s="18" t="s">
        <v>62</v>
      </c>
      <c r="G33" s="18" t="s">
        <v>62</v>
      </c>
    </row>
    <row r="34" spans="1:7" x14ac:dyDescent="0.45">
      <c r="A34" s="6" t="s">
        <v>3</v>
      </c>
      <c r="B34" s="6" t="s">
        <v>47</v>
      </c>
      <c r="C34" s="6" t="s">
        <v>63</v>
      </c>
      <c r="D34" s="6" t="str">
        <f t="shared" si="0"/>
        <v>WLSExact Dates of Service</v>
      </c>
      <c r="E34" s="18" t="s">
        <v>62</v>
      </c>
      <c r="F34" s="18" t="s">
        <v>62</v>
      </c>
      <c r="G34" s="18" t="s">
        <v>62</v>
      </c>
    </row>
    <row r="35" spans="1:7" x14ac:dyDescent="0.45">
      <c r="A35" s="6" t="s">
        <v>3</v>
      </c>
      <c r="B35" s="6" t="s">
        <v>47</v>
      </c>
      <c r="C35" s="6" t="s">
        <v>64</v>
      </c>
      <c r="D35" s="6" t="str">
        <f t="shared" si="0"/>
        <v>WLSBeneficiary State Code/County Code/Zip Code</v>
      </c>
      <c r="E35" s="18" t="s">
        <v>13</v>
      </c>
      <c r="F35" s="18" t="s">
        <v>62</v>
      </c>
      <c r="G35" s="18" t="s">
        <v>62</v>
      </c>
    </row>
    <row r="36" spans="1:7" x14ac:dyDescent="0.45">
      <c r="A36" s="6" t="s">
        <v>3</v>
      </c>
      <c r="B36" s="6" t="s">
        <v>47</v>
      </c>
      <c r="C36" s="6" t="s">
        <v>65</v>
      </c>
      <c r="D36" s="6" t="str">
        <f t="shared" si="0"/>
        <v>WLSProvider Characteristics (e.g., National Provider Identifiers (NPIs), Unique Provider Identification Numbers (UPINs))</v>
      </c>
      <c r="E36" s="17" t="s">
        <v>12</v>
      </c>
      <c r="F36" s="17" t="s">
        <v>12</v>
      </c>
      <c r="G36" s="18" t="s">
        <v>62</v>
      </c>
    </row>
    <row r="37" spans="1:7" x14ac:dyDescent="0.45">
      <c r="A37" s="6" t="s">
        <v>3</v>
      </c>
      <c r="B37" s="6" t="s">
        <v>47</v>
      </c>
      <c r="C37" s="6" t="s">
        <v>66</v>
      </c>
      <c r="D37" s="6" t="str">
        <f t="shared" si="0"/>
        <v>WLSCMS Certification Number (CCN)</v>
      </c>
      <c r="E37" s="17" t="s">
        <v>12</v>
      </c>
      <c r="F37" s="17" t="s">
        <v>12</v>
      </c>
      <c r="G37" s="18" t="s">
        <v>62</v>
      </c>
    </row>
    <row r="38" spans="1:7" x14ac:dyDescent="0.45">
      <c r="A38" s="6" t="s">
        <v>3</v>
      </c>
      <c r="B38" s="6" t="s">
        <v>47</v>
      </c>
      <c r="C38" s="6" t="s">
        <v>67</v>
      </c>
      <c r="D38" s="6" t="str">
        <f t="shared" si="0"/>
        <v>WLSHospitals/Facilities</v>
      </c>
      <c r="E38" s="17" t="s">
        <v>12</v>
      </c>
      <c r="F38" s="17" t="s">
        <v>12</v>
      </c>
      <c r="G38" s="18" t="s">
        <v>62</v>
      </c>
    </row>
    <row r="39" spans="1:7" x14ac:dyDescent="0.45">
      <c r="A39" s="6" t="s">
        <v>3</v>
      </c>
      <c r="B39" s="6" t="s">
        <v>47</v>
      </c>
      <c r="C39" s="6" t="s">
        <v>68</v>
      </c>
      <c r="D39" s="6" t="str">
        <f t="shared" si="0"/>
        <v>WLSPart C/D Health Plans</v>
      </c>
      <c r="E39" s="17" t="s">
        <v>45</v>
      </c>
      <c r="F39" s="17" t="s">
        <v>45</v>
      </c>
      <c r="G39" s="18" t="s">
        <v>62</v>
      </c>
    </row>
    <row r="40" spans="1:7" x14ac:dyDescent="0.45">
      <c r="A40" s="6" t="s">
        <v>54</v>
      </c>
      <c r="B40" s="6" t="s">
        <v>82</v>
      </c>
      <c r="C40" s="6" t="s">
        <v>58</v>
      </c>
      <c r="D40" s="6" t="str">
        <f t="shared" si="0"/>
        <v>NHASSocial Security Number</v>
      </c>
      <c r="E40" s="17" t="s">
        <v>14</v>
      </c>
      <c r="F40" s="17" t="s">
        <v>9</v>
      </c>
      <c r="G40" s="17" t="s">
        <v>9</v>
      </c>
    </row>
    <row r="41" spans="1:7" x14ac:dyDescent="0.45">
      <c r="A41" s="6" t="s">
        <v>54</v>
      </c>
      <c r="B41" s="6" t="s">
        <v>82</v>
      </c>
      <c r="C41" s="6" t="s">
        <v>59</v>
      </c>
      <c r="D41" s="6" t="str">
        <f t="shared" si="0"/>
        <v>NHASMedicare or Medicaid Beneficiary Number</v>
      </c>
      <c r="E41" s="17" t="s">
        <v>14</v>
      </c>
      <c r="F41" s="17" t="s">
        <v>9</v>
      </c>
      <c r="G41" s="17" t="s">
        <v>9</v>
      </c>
    </row>
    <row r="42" spans="1:7" x14ac:dyDescent="0.45">
      <c r="A42" s="6" t="s">
        <v>54</v>
      </c>
      <c r="B42" s="6" t="s">
        <v>82</v>
      </c>
      <c r="C42" s="6" t="s">
        <v>60</v>
      </c>
      <c r="D42" s="6" t="str">
        <f t="shared" si="0"/>
        <v>NHASSurname</v>
      </c>
      <c r="E42" s="17" t="s">
        <v>14</v>
      </c>
      <c r="F42" s="17" t="s">
        <v>9</v>
      </c>
      <c r="G42" s="17" t="s">
        <v>9</v>
      </c>
    </row>
    <row r="43" spans="1:7" x14ac:dyDescent="0.45">
      <c r="A43" s="6" t="s">
        <v>54</v>
      </c>
      <c r="B43" s="6" t="s">
        <v>82</v>
      </c>
      <c r="C43" s="6" t="s">
        <v>61</v>
      </c>
      <c r="D43" s="6" t="str">
        <f t="shared" si="0"/>
        <v>NHASBeneficiary Identification Number (BID) [Random]</v>
      </c>
      <c r="E43" s="17" t="s">
        <v>12</v>
      </c>
      <c r="F43" s="17" t="s">
        <v>9</v>
      </c>
      <c r="G43" s="17" t="s">
        <v>9</v>
      </c>
    </row>
    <row r="44" spans="1:7" x14ac:dyDescent="0.45">
      <c r="A44" s="6" t="s">
        <v>54</v>
      </c>
      <c r="B44" s="6" t="s">
        <v>82</v>
      </c>
      <c r="C44" s="6" t="s">
        <v>77</v>
      </c>
      <c r="D44" s="6" t="str">
        <f t="shared" si="0"/>
        <v>NHASDate of Birth</v>
      </c>
      <c r="E44" s="18" t="s">
        <v>13</v>
      </c>
      <c r="F44" s="17" t="s">
        <v>9</v>
      </c>
      <c r="G44" s="17" t="s">
        <v>9</v>
      </c>
    </row>
    <row r="45" spans="1:7" x14ac:dyDescent="0.45">
      <c r="A45" s="6" t="s">
        <v>54</v>
      </c>
      <c r="B45" s="6" t="s">
        <v>82</v>
      </c>
      <c r="C45" s="6" t="s">
        <v>78</v>
      </c>
      <c r="D45" s="6" t="str">
        <f t="shared" si="0"/>
        <v>NHASGender/Race</v>
      </c>
      <c r="E45" s="18" t="s">
        <v>62</v>
      </c>
      <c r="F45" s="17" t="s">
        <v>9</v>
      </c>
      <c r="G45" s="17" t="s">
        <v>9</v>
      </c>
    </row>
    <row r="46" spans="1:7" x14ac:dyDescent="0.45">
      <c r="A46" s="6" t="s">
        <v>54</v>
      </c>
      <c r="B46" s="6" t="s">
        <v>82</v>
      </c>
      <c r="C46" s="6" t="s">
        <v>63</v>
      </c>
      <c r="D46" s="6" t="str">
        <f t="shared" si="0"/>
        <v>NHASExact Dates of Service</v>
      </c>
      <c r="E46" s="18" t="s">
        <v>62</v>
      </c>
      <c r="F46" s="17" t="s">
        <v>9</v>
      </c>
      <c r="G46" s="17" t="s">
        <v>9</v>
      </c>
    </row>
    <row r="47" spans="1:7" x14ac:dyDescent="0.45">
      <c r="A47" s="6" t="s">
        <v>54</v>
      </c>
      <c r="B47" s="6" t="s">
        <v>82</v>
      </c>
      <c r="C47" s="6" t="s">
        <v>64</v>
      </c>
      <c r="D47" s="6" t="str">
        <f t="shared" si="0"/>
        <v>NHASBeneficiary State Code/County Code/Zip Code</v>
      </c>
      <c r="E47" s="18" t="s">
        <v>13</v>
      </c>
      <c r="F47" s="17" t="s">
        <v>9</v>
      </c>
      <c r="G47" s="17" t="s">
        <v>9</v>
      </c>
    </row>
    <row r="48" spans="1:7" x14ac:dyDescent="0.45">
      <c r="A48" s="6" t="s">
        <v>54</v>
      </c>
      <c r="B48" s="6" t="s">
        <v>82</v>
      </c>
      <c r="C48" s="6" t="s">
        <v>65</v>
      </c>
      <c r="D48" s="6" t="str">
        <f t="shared" si="0"/>
        <v>NHASProvider Characteristics (e.g., National Provider Identifiers (NPIs), Unique Provider Identification Numbers (UPINs))</v>
      </c>
      <c r="E48" s="17" t="s">
        <v>12</v>
      </c>
      <c r="F48" s="17" t="s">
        <v>9</v>
      </c>
      <c r="G48" s="17" t="s">
        <v>9</v>
      </c>
    </row>
    <row r="49" spans="1:7" x14ac:dyDescent="0.45">
      <c r="A49" s="6" t="s">
        <v>54</v>
      </c>
      <c r="B49" s="6" t="s">
        <v>82</v>
      </c>
      <c r="C49" s="6" t="s">
        <v>66</v>
      </c>
      <c r="D49" s="6" t="str">
        <f t="shared" si="0"/>
        <v>NHASCMS Certification Number (CCN)</v>
      </c>
      <c r="E49" s="17" t="s">
        <v>12</v>
      </c>
      <c r="F49" s="17" t="s">
        <v>9</v>
      </c>
      <c r="G49" s="17" t="s">
        <v>9</v>
      </c>
    </row>
    <row r="50" spans="1:7" x14ac:dyDescent="0.45">
      <c r="A50" s="6" t="s">
        <v>54</v>
      </c>
      <c r="B50" s="6" t="s">
        <v>82</v>
      </c>
      <c r="C50" s="6" t="s">
        <v>67</v>
      </c>
      <c r="D50" s="6" t="str">
        <f t="shared" si="0"/>
        <v>NHASHospitals/Facilities</v>
      </c>
      <c r="E50" s="17" t="s">
        <v>12</v>
      </c>
      <c r="F50" s="17" t="s">
        <v>9</v>
      </c>
      <c r="G50" s="17" t="s">
        <v>9</v>
      </c>
    </row>
    <row r="51" spans="1:7" x14ac:dyDescent="0.45">
      <c r="A51" s="6" t="s">
        <v>54</v>
      </c>
      <c r="B51" s="6" t="s">
        <v>82</v>
      </c>
      <c r="C51" s="6" t="s">
        <v>68</v>
      </c>
      <c r="D51" s="6" t="str">
        <f t="shared" si="0"/>
        <v>NHASPart C/D Health Plans</v>
      </c>
      <c r="E51" s="17" t="s">
        <v>45</v>
      </c>
      <c r="F51" s="17" t="s">
        <v>9</v>
      </c>
      <c r="G51" s="17" t="s">
        <v>9</v>
      </c>
    </row>
    <row r="52" spans="1:7" x14ac:dyDescent="0.45">
      <c r="A52" s="6" t="s">
        <v>40</v>
      </c>
      <c r="B52" s="6" t="s">
        <v>83</v>
      </c>
      <c r="C52" s="6" t="s">
        <v>58</v>
      </c>
      <c r="D52" s="6" t="str">
        <f t="shared" si="0"/>
        <v>BLSASocial Security Number</v>
      </c>
      <c r="E52" s="17" t="s">
        <v>14</v>
      </c>
      <c r="F52" s="17" t="s">
        <v>9</v>
      </c>
      <c r="G52" s="17" t="s">
        <v>9</v>
      </c>
    </row>
    <row r="53" spans="1:7" x14ac:dyDescent="0.45">
      <c r="A53" s="6" t="s">
        <v>40</v>
      </c>
      <c r="B53" s="6" t="s">
        <v>83</v>
      </c>
      <c r="C53" s="6" t="s">
        <v>59</v>
      </c>
      <c r="D53" s="6" t="str">
        <f t="shared" si="0"/>
        <v>BLSAMedicare or Medicaid Beneficiary Number</v>
      </c>
      <c r="E53" s="17" t="s">
        <v>14</v>
      </c>
      <c r="F53" s="17" t="s">
        <v>9</v>
      </c>
      <c r="G53" s="17" t="s">
        <v>9</v>
      </c>
    </row>
    <row r="54" spans="1:7" x14ac:dyDescent="0.45">
      <c r="A54" s="6" t="s">
        <v>40</v>
      </c>
      <c r="B54" s="6" t="s">
        <v>83</v>
      </c>
      <c r="C54" s="6" t="s">
        <v>60</v>
      </c>
      <c r="D54" s="6" t="str">
        <f t="shared" si="0"/>
        <v>BLSASurname</v>
      </c>
      <c r="E54" s="17" t="s">
        <v>14</v>
      </c>
      <c r="F54" s="17" t="s">
        <v>9</v>
      </c>
      <c r="G54" s="17" t="s">
        <v>9</v>
      </c>
    </row>
    <row r="55" spans="1:7" x14ac:dyDescent="0.45">
      <c r="A55" s="6" t="s">
        <v>40</v>
      </c>
      <c r="B55" s="6" t="s">
        <v>83</v>
      </c>
      <c r="C55" s="6" t="s">
        <v>61</v>
      </c>
      <c r="D55" s="6" t="str">
        <f t="shared" si="0"/>
        <v>BLSABeneficiary Identification Number (BID) [Random]</v>
      </c>
      <c r="E55" s="17" t="s">
        <v>12</v>
      </c>
      <c r="F55" s="17" t="s">
        <v>9</v>
      </c>
      <c r="G55" s="17" t="s">
        <v>9</v>
      </c>
    </row>
    <row r="56" spans="1:7" x14ac:dyDescent="0.45">
      <c r="A56" s="6" t="s">
        <v>40</v>
      </c>
      <c r="B56" s="6" t="s">
        <v>83</v>
      </c>
      <c r="C56" s="6" t="s">
        <v>77</v>
      </c>
      <c r="D56" s="6" t="str">
        <f t="shared" si="0"/>
        <v>BLSADate of Birth</v>
      </c>
      <c r="E56" s="18" t="s">
        <v>62</v>
      </c>
      <c r="F56" s="17" t="s">
        <v>9</v>
      </c>
      <c r="G56" s="17" t="s">
        <v>9</v>
      </c>
    </row>
    <row r="57" spans="1:7" x14ac:dyDescent="0.45">
      <c r="A57" s="6" t="s">
        <v>40</v>
      </c>
      <c r="B57" s="6" t="s">
        <v>83</v>
      </c>
      <c r="C57" s="6" t="s">
        <v>78</v>
      </c>
      <c r="D57" s="6" t="str">
        <f t="shared" si="0"/>
        <v>BLSAGender/Race</v>
      </c>
      <c r="E57" s="18" t="s">
        <v>62</v>
      </c>
      <c r="F57" s="17" t="s">
        <v>9</v>
      </c>
      <c r="G57" s="17" t="s">
        <v>9</v>
      </c>
    </row>
    <row r="58" spans="1:7" x14ac:dyDescent="0.45">
      <c r="A58" s="6" t="s">
        <v>40</v>
      </c>
      <c r="B58" s="6" t="s">
        <v>83</v>
      </c>
      <c r="C58" s="6" t="s">
        <v>63</v>
      </c>
      <c r="D58" s="6" t="str">
        <f t="shared" si="0"/>
        <v>BLSAExact Dates of Service</v>
      </c>
      <c r="E58" s="18" t="s">
        <v>62</v>
      </c>
      <c r="F58" s="17" t="s">
        <v>9</v>
      </c>
      <c r="G58" s="17" t="s">
        <v>9</v>
      </c>
    </row>
    <row r="59" spans="1:7" x14ac:dyDescent="0.45">
      <c r="A59" s="6" t="s">
        <v>40</v>
      </c>
      <c r="B59" s="6" t="s">
        <v>83</v>
      </c>
      <c r="C59" s="6" t="s">
        <v>64</v>
      </c>
      <c r="D59" s="6" t="str">
        <f t="shared" si="0"/>
        <v>BLSABeneficiary State Code/County Code/Zip Code</v>
      </c>
      <c r="E59" s="18" t="s">
        <v>13</v>
      </c>
      <c r="F59" s="17" t="s">
        <v>9</v>
      </c>
      <c r="G59" s="17" t="s">
        <v>9</v>
      </c>
    </row>
    <row r="60" spans="1:7" x14ac:dyDescent="0.45">
      <c r="A60" s="6" t="s">
        <v>40</v>
      </c>
      <c r="B60" s="6" t="s">
        <v>83</v>
      </c>
      <c r="C60" s="6" t="s">
        <v>65</v>
      </c>
      <c r="D60" s="6" t="str">
        <f t="shared" si="0"/>
        <v>BLSAProvider Characteristics (e.g., National Provider Identifiers (NPIs), Unique Provider Identification Numbers (UPINs))</v>
      </c>
      <c r="E60" s="17" t="s">
        <v>12</v>
      </c>
      <c r="F60" s="17" t="s">
        <v>9</v>
      </c>
      <c r="G60" s="17" t="s">
        <v>9</v>
      </c>
    </row>
    <row r="61" spans="1:7" x14ac:dyDescent="0.45">
      <c r="A61" s="6" t="s">
        <v>40</v>
      </c>
      <c r="B61" s="6" t="s">
        <v>83</v>
      </c>
      <c r="C61" s="6" t="s">
        <v>66</v>
      </c>
      <c r="D61" s="6" t="str">
        <f t="shared" si="0"/>
        <v>BLSACMS Certification Number (CCN)</v>
      </c>
      <c r="E61" s="17" t="s">
        <v>12</v>
      </c>
      <c r="F61" s="17" t="s">
        <v>9</v>
      </c>
      <c r="G61" s="17" t="s">
        <v>9</v>
      </c>
    </row>
    <row r="62" spans="1:7" x14ac:dyDescent="0.45">
      <c r="A62" s="6" t="s">
        <v>40</v>
      </c>
      <c r="B62" s="6" t="s">
        <v>83</v>
      </c>
      <c r="C62" s="6" t="s">
        <v>67</v>
      </c>
      <c r="D62" s="6" t="str">
        <f t="shared" si="0"/>
        <v>BLSAHospitals/Facilities</v>
      </c>
      <c r="E62" s="17" t="s">
        <v>12</v>
      </c>
      <c r="F62" s="17" t="s">
        <v>9</v>
      </c>
      <c r="G62" s="17" t="s">
        <v>9</v>
      </c>
    </row>
    <row r="63" spans="1:7" x14ac:dyDescent="0.45">
      <c r="A63" s="6" t="s">
        <v>40</v>
      </c>
      <c r="B63" s="6" t="s">
        <v>83</v>
      </c>
      <c r="C63" s="6" t="s">
        <v>68</v>
      </c>
      <c r="D63" s="6" t="str">
        <f t="shared" si="0"/>
        <v>BLSAPart C/D Health Plans</v>
      </c>
      <c r="E63" s="17" t="s">
        <v>45</v>
      </c>
      <c r="F63" s="17" t="s">
        <v>9</v>
      </c>
      <c r="G63" s="17" t="s">
        <v>9</v>
      </c>
    </row>
    <row r="64" spans="1:7" x14ac:dyDescent="0.45">
      <c r="A64" s="6" t="s">
        <v>55</v>
      </c>
      <c r="B64" s="6" t="s">
        <v>84</v>
      </c>
      <c r="C64" s="6" t="s">
        <v>58</v>
      </c>
      <c r="D64" s="6" t="str">
        <f t="shared" si="0"/>
        <v>BEAMSSocial Security Number</v>
      </c>
      <c r="E64" s="17" t="s">
        <v>14</v>
      </c>
      <c r="F64" s="17" t="s">
        <v>14</v>
      </c>
      <c r="G64" s="17" t="s">
        <v>14</v>
      </c>
    </row>
    <row r="65" spans="1:7" x14ac:dyDescent="0.45">
      <c r="A65" s="6" t="s">
        <v>55</v>
      </c>
      <c r="B65" s="6" t="s">
        <v>84</v>
      </c>
      <c r="C65" s="6" t="s">
        <v>59</v>
      </c>
      <c r="D65" s="6" t="str">
        <f t="shared" si="0"/>
        <v>BEAMSMedicare or Medicaid Beneficiary Number</v>
      </c>
      <c r="E65" s="17" t="s">
        <v>14</v>
      </c>
      <c r="F65" s="17" t="s">
        <v>14</v>
      </c>
      <c r="G65" s="17" t="s">
        <v>14</v>
      </c>
    </row>
    <row r="66" spans="1:7" x14ac:dyDescent="0.45">
      <c r="A66" s="6" t="s">
        <v>55</v>
      </c>
      <c r="B66" s="6" t="s">
        <v>84</v>
      </c>
      <c r="C66" s="6" t="s">
        <v>60</v>
      </c>
      <c r="D66" s="6" t="str">
        <f t="shared" si="0"/>
        <v>BEAMSSurname</v>
      </c>
      <c r="E66" s="17" t="s">
        <v>14</v>
      </c>
      <c r="F66" s="17" t="s">
        <v>14</v>
      </c>
      <c r="G66" s="17" t="s">
        <v>14</v>
      </c>
    </row>
    <row r="67" spans="1:7" x14ac:dyDescent="0.45">
      <c r="A67" s="6" t="s">
        <v>55</v>
      </c>
      <c r="B67" s="6" t="s">
        <v>84</v>
      </c>
      <c r="C67" s="6" t="s">
        <v>61</v>
      </c>
      <c r="D67" s="6" t="str">
        <f t="shared" si="0"/>
        <v>BEAMSBeneficiary Identification Number (BID) [Random]</v>
      </c>
      <c r="E67" s="18" t="s">
        <v>96</v>
      </c>
      <c r="F67" s="18" t="s">
        <v>96</v>
      </c>
      <c r="G67" s="18" t="s">
        <v>96</v>
      </c>
    </row>
    <row r="68" spans="1:7" x14ac:dyDescent="0.45">
      <c r="A68" s="6" t="s">
        <v>55</v>
      </c>
      <c r="B68" s="6" t="s">
        <v>84</v>
      </c>
      <c r="C68" s="6" t="s">
        <v>77</v>
      </c>
      <c r="D68" s="6" t="str">
        <f t="shared" si="0"/>
        <v>BEAMSDate of Birth</v>
      </c>
      <c r="E68" s="18" t="s">
        <v>96</v>
      </c>
      <c r="F68" s="18" t="s">
        <v>96</v>
      </c>
      <c r="G68" s="18" t="s">
        <v>96</v>
      </c>
    </row>
    <row r="69" spans="1:7" x14ac:dyDescent="0.45">
      <c r="A69" s="6" t="s">
        <v>55</v>
      </c>
      <c r="B69" s="6" t="s">
        <v>84</v>
      </c>
      <c r="C69" s="6" t="s">
        <v>78</v>
      </c>
      <c r="D69" s="6" t="str">
        <f t="shared" ref="D69:D132" si="1">CONCATENATE(B69,C69)</f>
        <v>BEAMSGender/Race</v>
      </c>
      <c r="E69" s="18" t="s">
        <v>96</v>
      </c>
      <c r="F69" s="18" t="s">
        <v>96</v>
      </c>
      <c r="G69" s="18" t="s">
        <v>96</v>
      </c>
    </row>
    <row r="70" spans="1:7" x14ac:dyDescent="0.45">
      <c r="A70" s="6" t="s">
        <v>55</v>
      </c>
      <c r="B70" s="6" t="s">
        <v>84</v>
      </c>
      <c r="C70" s="6" t="s">
        <v>63</v>
      </c>
      <c r="D70" s="6" t="str">
        <f t="shared" si="1"/>
        <v>BEAMSExact Dates of Service</v>
      </c>
      <c r="E70" s="18" t="s">
        <v>96</v>
      </c>
      <c r="F70" s="18" t="s">
        <v>96</v>
      </c>
      <c r="G70" s="18" t="s">
        <v>96</v>
      </c>
    </row>
    <row r="71" spans="1:7" x14ac:dyDescent="0.45">
      <c r="A71" s="6" t="s">
        <v>55</v>
      </c>
      <c r="B71" s="6" t="s">
        <v>84</v>
      </c>
      <c r="C71" s="6" t="s">
        <v>64</v>
      </c>
      <c r="D71" s="6" t="str">
        <f t="shared" si="1"/>
        <v>BEAMSBeneficiary State Code/County Code/Zip Code</v>
      </c>
      <c r="E71" s="18" t="s">
        <v>96</v>
      </c>
      <c r="F71" s="18" t="s">
        <v>96</v>
      </c>
      <c r="G71" s="18" t="s">
        <v>96</v>
      </c>
    </row>
    <row r="72" spans="1:7" x14ac:dyDescent="0.45">
      <c r="A72" s="6" t="s">
        <v>55</v>
      </c>
      <c r="B72" s="6" t="s">
        <v>84</v>
      </c>
      <c r="C72" s="6" t="s">
        <v>65</v>
      </c>
      <c r="D72" s="6" t="str">
        <f t="shared" si="1"/>
        <v>BEAMSProvider Characteristics (e.g., National Provider Identifiers (NPIs), Unique Provider Identification Numbers (UPINs))</v>
      </c>
      <c r="E72" s="18" t="s">
        <v>96</v>
      </c>
      <c r="F72" s="18" t="s">
        <v>96</v>
      </c>
      <c r="G72" s="18" t="s">
        <v>96</v>
      </c>
    </row>
    <row r="73" spans="1:7" x14ac:dyDescent="0.45">
      <c r="A73" s="6" t="s">
        <v>55</v>
      </c>
      <c r="B73" s="6" t="s">
        <v>84</v>
      </c>
      <c r="C73" s="6" t="s">
        <v>66</v>
      </c>
      <c r="D73" s="6" t="str">
        <f t="shared" si="1"/>
        <v>BEAMSCMS Certification Number (CCN)</v>
      </c>
      <c r="E73" s="18" t="s">
        <v>96</v>
      </c>
      <c r="F73" s="18" t="s">
        <v>96</v>
      </c>
      <c r="G73" s="18" t="s">
        <v>96</v>
      </c>
    </row>
    <row r="74" spans="1:7" x14ac:dyDescent="0.45">
      <c r="A74" s="6" t="s">
        <v>55</v>
      </c>
      <c r="B74" s="6" t="s">
        <v>84</v>
      </c>
      <c r="C74" s="6" t="s">
        <v>67</v>
      </c>
      <c r="D74" s="6" t="str">
        <f t="shared" si="1"/>
        <v>BEAMSHospitals/Facilities</v>
      </c>
      <c r="E74" s="18" t="s">
        <v>96</v>
      </c>
      <c r="F74" s="18" t="s">
        <v>96</v>
      </c>
      <c r="G74" s="18" t="s">
        <v>96</v>
      </c>
    </row>
    <row r="75" spans="1:7" x14ac:dyDescent="0.45">
      <c r="A75" s="6" t="s">
        <v>55</v>
      </c>
      <c r="B75" s="6" t="s">
        <v>84</v>
      </c>
      <c r="C75" s="6" t="s">
        <v>68</v>
      </c>
      <c r="D75" s="6" t="str">
        <f t="shared" si="1"/>
        <v>BEAMSPart C/D Health Plans</v>
      </c>
      <c r="E75" s="18" t="s">
        <v>96</v>
      </c>
      <c r="F75" s="18" t="s">
        <v>96</v>
      </c>
      <c r="G75" s="18" t="s">
        <v>96</v>
      </c>
    </row>
    <row r="76" spans="1:7" x14ac:dyDescent="0.45">
      <c r="A76" s="6" t="s">
        <v>51</v>
      </c>
      <c r="B76" s="6" t="s">
        <v>85</v>
      </c>
      <c r="C76" s="6" t="s">
        <v>58</v>
      </c>
      <c r="D76" s="6" t="str">
        <f t="shared" si="1"/>
        <v>CESocial Security Number</v>
      </c>
      <c r="E76" s="17" t="s">
        <v>14</v>
      </c>
      <c r="F76" s="17" t="s">
        <v>9</v>
      </c>
      <c r="G76" s="17" t="s">
        <v>9</v>
      </c>
    </row>
    <row r="77" spans="1:7" x14ac:dyDescent="0.45">
      <c r="A77" s="6" t="s">
        <v>51</v>
      </c>
      <c r="B77" s="6" t="s">
        <v>85</v>
      </c>
      <c r="C77" s="6" t="s">
        <v>59</v>
      </c>
      <c r="D77" s="6" t="str">
        <f t="shared" si="1"/>
        <v>CEMedicare or Medicaid Beneficiary Number</v>
      </c>
      <c r="E77" s="17" t="s">
        <v>14</v>
      </c>
      <c r="F77" s="17" t="s">
        <v>9</v>
      </c>
      <c r="G77" s="17" t="s">
        <v>9</v>
      </c>
    </row>
    <row r="78" spans="1:7" x14ac:dyDescent="0.45">
      <c r="A78" s="6" t="s">
        <v>51</v>
      </c>
      <c r="B78" s="6" t="s">
        <v>85</v>
      </c>
      <c r="C78" s="6" t="s">
        <v>60</v>
      </c>
      <c r="D78" s="6" t="str">
        <f t="shared" si="1"/>
        <v>CESurname</v>
      </c>
      <c r="E78" s="17" t="s">
        <v>14</v>
      </c>
      <c r="F78" s="17" t="s">
        <v>9</v>
      </c>
      <c r="G78" s="17" t="s">
        <v>9</v>
      </c>
    </row>
    <row r="79" spans="1:7" x14ac:dyDescent="0.45">
      <c r="A79" s="6" t="s">
        <v>51</v>
      </c>
      <c r="B79" s="6" t="s">
        <v>85</v>
      </c>
      <c r="C79" s="6" t="s">
        <v>61</v>
      </c>
      <c r="D79" s="6" t="str">
        <f t="shared" si="1"/>
        <v>CEBeneficiary Identification Number (BID) [Random]</v>
      </c>
      <c r="E79" s="17" t="s">
        <v>12</v>
      </c>
      <c r="F79" s="17" t="s">
        <v>9</v>
      </c>
      <c r="G79" s="17" t="s">
        <v>9</v>
      </c>
    </row>
    <row r="80" spans="1:7" x14ac:dyDescent="0.45">
      <c r="A80" s="6" t="s">
        <v>51</v>
      </c>
      <c r="B80" s="6" t="s">
        <v>85</v>
      </c>
      <c r="C80" s="6" t="s">
        <v>77</v>
      </c>
      <c r="D80" s="6" t="str">
        <f t="shared" si="1"/>
        <v>CEDate of Birth</v>
      </c>
      <c r="E80" s="18" t="s">
        <v>45</v>
      </c>
      <c r="F80" s="17" t="s">
        <v>9</v>
      </c>
      <c r="G80" s="17" t="s">
        <v>9</v>
      </c>
    </row>
    <row r="81" spans="1:7" x14ac:dyDescent="0.45">
      <c r="A81" s="6" t="s">
        <v>51</v>
      </c>
      <c r="B81" s="6" t="s">
        <v>85</v>
      </c>
      <c r="C81" s="6" t="s">
        <v>78</v>
      </c>
      <c r="D81" s="6" t="str">
        <f t="shared" si="1"/>
        <v>CEGender/Race</v>
      </c>
      <c r="E81" s="18" t="s">
        <v>62</v>
      </c>
      <c r="F81" s="17" t="s">
        <v>9</v>
      </c>
      <c r="G81" s="17" t="s">
        <v>9</v>
      </c>
    </row>
    <row r="82" spans="1:7" x14ac:dyDescent="0.45">
      <c r="A82" s="6" t="s">
        <v>51</v>
      </c>
      <c r="B82" s="6" t="s">
        <v>85</v>
      </c>
      <c r="C82" s="6" t="s">
        <v>63</v>
      </c>
      <c r="D82" s="6" t="str">
        <f t="shared" si="1"/>
        <v>CEExact Dates of Service</v>
      </c>
      <c r="E82" s="18" t="s">
        <v>45</v>
      </c>
      <c r="F82" s="17" t="s">
        <v>9</v>
      </c>
      <c r="G82" s="17" t="s">
        <v>9</v>
      </c>
    </row>
    <row r="83" spans="1:7" x14ac:dyDescent="0.45">
      <c r="A83" s="6" t="s">
        <v>51</v>
      </c>
      <c r="B83" s="6" t="s">
        <v>85</v>
      </c>
      <c r="C83" s="6" t="s">
        <v>64</v>
      </c>
      <c r="D83" s="6" t="str">
        <f t="shared" si="1"/>
        <v>CEBeneficiary State Code/County Code/Zip Code</v>
      </c>
      <c r="E83" s="18" t="s">
        <v>13</v>
      </c>
      <c r="F83" s="17" t="s">
        <v>9</v>
      </c>
      <c r="G83" s="17" t="s">
        <v>9</v>
      </c>
    </row>
    <row r="84" spans="1:7" x14ac:dyDescent="0.45">
      <c r="A84" s="6" t="s">
        <v>51</v>
      </c>
      <c r="B84" s="6" t="s">
        <v>85</v>
      </c>
      <c r="C84" s="6" t="s">
        <v>65</v>
      </c>
      <c r="D84" s="6" t="str">
        <f t="shared" si="1"/>
        <v>CEProvider Characteristics (e.g., National Provider Identifiers (NPIs), Unique Provider Identification Numbers (UPINs))</v>
      </c>
      <c r="E84" s="17" t="s">
        <v>12</v>
      </c>
      <c r="F84" s="17" t="s">
        <v>9</v>
      </c>
      <c r="G84" s="17" t="s">
        <v>9</v>
      </c>
    </row>
    <row r="85" spans="1:7" x14ac:dyDescent="0.45">
      <c r="A85" s="6" t="s">
        <v>51</v>
      </c>
      <c r="B85" s="6" t="s">
        <v>85</v>
      </c>
      <c r="C85" s="6" t="s">
        <v>66</v>
      </c>
      <c r="D85" s="6" t="str">
        <f t="shared" si="1"/>
        <v>CECMS Certification Number (CCN)</v>
      </c>
      <c r="E85" s="17" t="s">
        <v>12</v>
      </c>
      <c r="F85" s="17" t="s">
        <v>9</v>
      </c>
      <c r="G85" s="17" t="s">
        <v>9</v>
      </c>
    </row>
    <row r="86" spans="1:7" x14ac:dyDescent="0.45">
      <c r="A86" s="6" t="s">
        <v>51</v>
      </c>
      <c r="B86" s="6" t="s">
        <v>85</v>
      </c>
      <c r="C86" s="6" t="s">
        <v>67</v>
      </c>
      <c r="D86" s="6" t="str">
        <f t="shared" si="1"/>
        <v>CEHospitals/Facilities</v>
      </c>
      <c r="E86" s="17" t="s">
        <v>12</v>
      </c>
      <c r="F86" s="17" t="s">
        <v>9</v>
      </c>
      <c r="G86" s="17" t="s">
        <v>9</v>
      </c>
    </row>
    <row r="87" spans="1:7" x14ac:dyDescent="0.45">
      <c r="A87" s="6" t="s">
        <v>51</v>
      </c>
      <c r="B87" s="6" t="s">
        <v>85</v>
      </c>
      <c r="C87" s="6" t="s">
        <v>68</v>
      </c>
      <c r="D87" s="6" t="str">
        <f t="shared" si="1"/>
        <v>CEPart C/D Health Plans</v>
      </c>
      <c r="E87" s="17" t="s">
        <v>45</v>
      </c>
      <c r="F87" s="17" t="s">
        <v>9</v>
      </c>
      <c r="G87" s="17" t="s">
        <v>9</v>
      </c>
    </row>
    <row r="88" spans="1:7" x14ac:dyDescent="0.45">
      <c r="A88" s="6" t="s">
        <v>52</v>
      </c>
      <c r="B88" s="6" t="s">
        <v>86</v>
      </c>
      <c r="C88" s="6" t="s">
        <v>58</v>
      </c>
      <c r="D88" s="6" t="str">
        <f t="shared" si="1"/>
        <v>CHAPSocial Security Number</v>
      </c>
      <c r="E88" s="17" t="s">
        <v>14</v>
      </c>
      <c r="F88" s="17" t="s">
        <v>14</v>
      </c>
      <c r="G88" s="17" t="s">
        <v>14</v>
      </c>
    </row>
    <row r="89" spans="1:7" x14ac:dyDescent="0.45">
      <c r="A89" s="6" t="s">
        <v>52</v>
      </c>
      <c r="B89" s="6" t="s">
        <v>86</v>
      </c>
      <c r="C89" s="6" t="s">
        <v>59</v>
      </c>
      <c r="D89" s="6" t="str">
        <f t="shared" si="1"/>
        <v>CHAPMedicare or Medicaid Beneficiary Number</v>
      </c>
      <c r="E89" s="17" t="s">
        <v>14</v>
      </c>
      <c r="F89" s="17" t="s">
        <v>14</v>
      </c>
      <c r="G89" s="17" t="s">
        <v>14</v>
      </c>
    </row>
    <row r="90" spans="1:7" x14ac:dyDescent="0.45">
      <c r="A90" s="6" t="s">
        <v>52</v>
      </c>
      <c r="B90" s="6" t="s">
        <v>86</v>
      </c>
      <c r="C90" s="6" t="s">
        <v>60</v>
      </c>
      <c r="D90" s="6" t="str">
        <f t="shared" si="1"/>
        <v>CHAPSurname</v>
      </c>
      <c r="E90" s="17" t="s">
        <v>14</v>
      </c>
      <c r="F90" s="17" t="s">
        <v>14</v>
      </c>
      <c r="G90" s="17" t="s">
        <v>14</v>
      </c>
    </row>
    <row r="91" spans="1:7" x14ac:dyDescent="0.45">
      <c r="A91" s="6" t="s">
        <v>52</v>
      </c>
      <c r="B91" s="6" t="s">
        <v>86</v>
      </c>
      <c r="C91" s="6" t="s">
        <v>61</v>
      </c>
      <c r="D91" s="6" t="str">
        <f t="shared" si="1"/>
        <v>CHAPBeneficiary Identification Number (BID) [Random]</v>
      </c>
      <c r="E91" s="17" t="s">
        <v>12</v>
      </c>
      <c r="F91" s="17" t="s">
        <v>12</v>
      </c>
      <c r="G91" s="17" t="s">
        <v>12</v>
      </c>
    </row>
    <row r="92" spans="1:7" x14ac:dyDescent="0.45">
      <c r="A92" s="6" t="s">
        <v>52</v>
      </c>
      <c r="B92" s="6" t="s">
        <v>86</v>
      </c>
      <c r="C92" s="6" t="s">
        <v>77</v>
      </c>
      <c r="D92" s="6" t="str">
        <f t="shared" si="1"/>
        <v>CHAPDate of Birth</v>
      </c>
      <c r="E92" s="18" t="s">
        <v>62</v>
      </c>
      <c r="F92" s="18" t="s">
        <v>62</v>
      </c>
      <c r="G92" s="18" t="s">
        <v>62</v>
      </c>
    </row>
    <row r="93" spans="1:7" x14ac:dyDescent="0.45">
      <c r="A93" s="6" t="s">
        <v>52</v>
      </c>
      <c r="B93" s="6" t="s">
        <v>86</v>
      </c>
      <c r="C93" s="6" t="s">
        <v>78</v>
      </c>
      <c r="D93" s="6" t="str">
        <f t="shared" si="1"/>
        <v>CHAPGender/Race</v>
      </c>
      <c r="E93" s="18" t="s">
        <v>62</v>
      </c>
      <c r="F93" s="18" t="s">
        <v>62</v>
      </c>
      <c r="G93" s="18" t="s">
        <v>62</v>
      </c>
    </row>
    <row r="94" spans="1:7" x14ac:dyDescent="0.45">
      <c r="A94" s="6" t="s">
        <v>52</v>
      </c>
      <c r="B94" s="6" t="s">
        <v>86</v>
      </c>
      <c r="C94" s="6" t="s">
        <v>63</v>
      </c>
      <c r="D94" s="6" t="str">
        <f t="shared" si="1"/>
        <v>CHAPExact Dates of Service</v>
      </c>
      <c r="E94" s="18" t="s">
        <v>62</v>
      </c>
      <c r="F94" s="18" t="s">
        <v>62</v>
      </c>
      <c r="G94" s="18" t="s">
        <v>62</v>
      </c>
    </row>
    <row r="95" spans="1:7" x14ac:dyDescent="0.45">
      <c r="A95" s="6" t="s">
        <v>52</v>
      </c>
      <c r="B95" s="6" t="s">
        <v>86</v>
      </c>
      <c r="C95" s="6" t="s">
        <v>64</v>
      </c>
      <c r="D95" s="6" t="str">
        <f t="shared" si="1"/>
        <v>CHAPBeneficiary State Code/County Code/Zip Code</v>
      </c>
      <c r="E95" s="18" t="s">
        <v>13</v>
      </c>
      <c r="F95" s="18" t="s">
        <v>62</v>
      </c>
      <c r="G95" s="18" t="s">
        <v>62</v>
      </c>
    </row>
    <row r="96" spans="1:7" x14ac:dyDescent="0.45">
      <c r="A96" s="6" t="s">
        <v>52</v>
      </c>
      <c r="B96" s="6" t="s">
        <v>86</v>
      </c>
      <c r="C96" s="6" t="s">
        <v>65</v>
      </c>
      <c r="D96" s="6" t="str">
        <f t="shared" si="1"/>
        <v>CHAPProvider Characteristics (e.g., National Provider Identifiers (NPIs), Unique Provider Identification Numbers (UPINs))</v>
      </c>
      <c r="E96" s="17" t="s">
        <v>12</v>
      </c>
      <c r="F96" s="17" t="s">
        <v>12</v>
      </c>
      <c r="G96" s="18" t="s">
        <v>62</v>
      </c>
    </row>
    <row r="97" spans="1:7" x14ac:dyDescent="0.45">
      <c r="A97" s="6" t="s">
        <v>52</v>
      </c>
      <c r="B97" s="6" t="s">
        <v>86</v>
      </c>
      <c r="C97" s="6" t="s">
        <v>66</v>
      </c>
      <c r="D97" s="6" t="str">
        <f t="shared" si="1"/>
        <v>CHAPCMS Certification Number (CCN)</v>
      </c>
      <c r="E97" s="17" t="s">
        <v>12</v>
      </c>
      <c r="F97" s="17" t="s">
        <v>12</v>
      </c>
      <c r="G97" s="18" t="s">
        <v>62</v>
      </c>
    </row>
    <row r="98" spans="1:7" x14ac:dyDescent="0.45">
      <c r="A98" s="6" t="s">
        <v>52</v>
      </c>
      <c r="B98" s="6" t="s">
        <v>86</v>
      </c>
      <c r="C98" s="6" t="s">
        <v>67</v>
      </c>
      <c r="D98" s="6" t="str">
        <f t="shared" si="1"/>
        <v>CHAPHospitals/Facilities</v>
      </c>
      <c r="E98" s="17" t="s">
        <v>12</v>
      </c>
      <c r="F98" s="17" t="s">
        <v>12</v>
      </c>
      <c r="G98" s="18" t="s">
        <v>62</v>
      </c>
    </row>
    <row r="99" spans="1:7" x14ac:dyDescent="0.45">
      <c r="A99" s="6" t="s">
        <v>52</v>
      </c>
      <c r="B99" s="6" t="s">
        <v>86</v>
      </c>
      <c r="C99" s="6" t="s">
        <v>68</v>
      </c>
      <c r="D99" s="6" t="str">
        <f t="shared" si="1"/>
        <v>CHAPPart C/D Health Plans</v>
      </c>
      <c r="E99" s="17" t="s">
        <v>45</v>
      </c>
      <c r="F99" s="17" t="s">
        <v>45</v>
      </c>
      <c r="G99" s="18" t="s">
        <v>62</v>
      </c>
    </row>
    <row r="100" spans="1:7" x14ac:dyDescent="0.45">
      <c r="A100" s="6" t="s">
        <v>23</v>
      </c>
      <c r="B100" s="6" t="s">
        <v>87</v>
      </c>
      <c r="C100" s="6" t="s">
        <v>58</v>
      </c>
      <c r="D100" s="6" t="str">
        <f t="shared" si="1"/>
        <v>HABCSocial Security Number</v>
      </c>
      <c r="E100" s="17" t="s">
        <v>14</v>
      </c>
      <c r="F100" s="17" t="s">
        <v>9</v>
      </c>
      <c r="G100" s="17" t="s">
        <v>9</v>
      </c>
    </row>
    <row r="101" spans="1:7" x14ac:dyDescent="0.45">
      <c r="A101" s="6" t="s">
        <v>23</v>
      </c>
      <c r="B101" s="6" t="s">
        <v>87</v>
      </c>
      <c r="C101" s="6" t="s">
        <v>59</v>
      </c>
      <c r="D101" s="6" t="str">
        <f t="shared" si="1"/>
        <v>HABCMedicare or Medicaid Beneficiary Number</v>
      </c>
      <c r="E101" s="17" t="s">
        <v>14</v>
      </c>
      <c r="F101" s="17" t="s">
        <v>9</v>
      </c>
      <c r="G101" s="17" t="s">
        <v>9</v>
      </c>
    </row>
    <row r="102" spans="1:7" x14ac:dyDescent="0.45">
      <c r="A102" s="6" t="s">
        <v>23</v>
      </c>
      <c r="B102" s="6" t="s">
        <v>87</v>
      </c>
      <c r="C102" s="6" t="s">
        <v>60</v>
      </c>
      <c r="D102" s="6" t="str">
        <f t="shared" si="1"/>
        <v>HABCSurname</v>
      </c>
      <c r="E102" s="17" t="s">
        <v>14</v>
      </c>
      <c r="F102" s="17" t="s">
        <v>9</v>
      </c>
      <c r="G102" s="17" t="s">
        <v>9</v>
      </c>
    </row>
    <row r="103" spans="1:7" x14ac:dyDescent="0.45">
      <c r="A103" s="6" t="s">
        <v>23</v>
      </c>
      <c r="B103" s="6" t="s">
        <v>87</v>
      </c>
      <c r="C103" s="6" t="s">
        <v>61</v>
      </c>
      <c r="D103" s="6" t="str">
        <f t="shared" si="1"/>
        <v>HABCBeneficiary Identification Number (BID) [Random]</v>
      </c>
      <c r="E103" s="17" t="s">
        <v>12</v>
      </c>
      <c r="F103" s="17" t="s">
        <v>9</v>
      </c>
      <c r="G103" s="17" t="s">
        <v>9</v>
      </c>
    </row>
    <row r="104" spans="1:7" x14ac:dyDescent="0.45">
      <c r="A104" s="6" t="s">
        <v>23</v>
      </c>
      <c r="B104" s="6" t="s">
        <v>87</v>
      </c>
      <c r="C104" s="6" t="s">
        <v>77</v>
      </c>
      <c r="D104" s="6" t="str">
        <f t="shared" si="1"/>
        <v>HABCDate of Birth</v>
      </c>
      <c r="E104" s="18" t="s">
        <v>62</v>
      </c>
      <c r="F104" s="17" t="s">
        <v>9</v>
      </c>
      <c r="G104" s="17" t="s">
        <v>9</v>
      </c>
    </row>
    <row r="105" spans="1:7" x14ac:dyDescent="0.45">
      <c r="A105" s="6" t="s">
        <v>23</v>
      </c>
      <c r="B105" s="6" t="s">
        <v>87</v>
      </c>
      <c r="C105" s="6" t="s">
        <v>78</v>
      </c>
      <c r="D105" s="6" t="str">
        <f t="shared" si="1"/>
        <v>HABCGender/Race</v>
      </c>
      <c r="E105" s="18" t="s">
        <v>62</v>
      </c>
      <c r="F105" s="17" t="s">
        <v>9</v>
      </c>
      <c r="G105" s="17" t="s">
        <v>9</v>
      </c>
    </row>
    <row r="106" spans="1:7" x14ac:dyDescent="0.45">
      <c r="A106" s="6" t="s">
        <v>23</v>
      </c>
      <c r="B106" s="6" t="s">
        <v>87</v>
      </c>
      <c r="C106" s="6" t="s">
        <v>63</v>
      </c>
      <c r="D106" s="6" t="str">
        <f t="shared" si="1"/>
        <v>HABCExact Dates of Service</v>
      </c>
      <c r="E106" s="18" t="s">
        <v>62</v>
      </c>
      <c r="F106" s="17" t="s">
        <v>9</v>
      </c>
      <c r="G106" s="17" t="s">
        <v>9</v>
      </c>
    </row>
    <row r="107" spans="1:7" x14ac:dyDescent="0.45">
      <c r="A107" s="6" t="s">
        <v>23</v>
      </c>
      <c r="B107" s="6" t="s">
        <v>87</v>
      </c>
      <c r="C107" s="6" t="s">
        <v>64</v>
      </c>
      <c r="D107" s="6" t="str">
        <f t="shared" si="1"/>
        <v>HABCBeneficiary State Code/County Code/Zip Code</v>
      </c>
      <c r="E107" s="18" t="s">
        <v>13</v>
      </c>
      <c r="F107" s="17" t="s">
        <v>9</v>
      </c>
      <c r="G107" s="17" t="s">
        <v>9</v>
      </c>
    </row>
    <row r="108" spans="1:7" x14ac:dyDescent="0.45">
      <c r="A108" s="6" t="s">
        <v>23</v>
      </c>
      <c r="B108" s="6" t="s">
        <v>87</v>
      </c>
      <c r="C108" s="6" t="s">
        <v>65</v>
      </c>
      <c r="D108" s="6" t="str">
        <f t="shared" si="1"/>
        <v>HABCProvider Characteristics (e.g., National Provider Identifiers (NPIs), Unique Provider Identification Numbers (UPINs))</v>
      </c>
      <c r="E108" s="17" t="s">
        <v>12</v>
      </c>
      <c r="F108" s="17" t="s">
        <v>9</v>
      </c>
      <c r="G108" s="17" t="s">
        <v>9</v>
      </c>
    </row>
    <row r="109" spans="1:7" x14ac:dyDescent="0.45">
      <c r="A109" s="6" t="s">
        <v>23</v>
      </c>
      <c r="B109" s="6" t="s">
        <v>87</v>
      </c>
      <c r="C109" s="6" t="s">
        <v>66</v>
      </c>
      <c r="D109" s="6" t="str">
        <f t="shared" si="1"/>
        <v>HABCCMS Certification Number (CCN)</v>
      </c>
      <c r="E109" s="17" t="s">
        <v>12</v>
      </c>
      <c r="F109" s="17" t="s">
        <v>9</v>
      </c>
      <c r="G109" s="17" t="s">
        <v>9</v>
      </c>
    </row>
    <row r="110" spans="1:7" x14ac:dyDescent="0.45">
      <c r="A110" s="6" t="s">
        <v>23</v>
      </c>
      <c r="B110" s="6" t="s">
        <v>87</v>
      </c>
      <c r="C110" s="6" t="s">
        <v>67</v>
      </c>
      <c r="D110" s="6" t="str">
        <f t="shared" si="1"/>
        <v>HABCHospitals/Facilities</v>
      </c>
      <c r="E110" s="17" t="s">
        <v>12</v>
      </c>
      <c r="F110" s="17" t="s">
        <v>9</v>
      </c>
      <c r="G110" s="17" t="s">
        <v>9</v>
      </c>
    </row>
    <row r="111" spans="1:7" x14ac:dyDescent="0.45">
      <c r="A111" s="6" t="s">
        <v>23</v>
      </c>
      <c r="B111" s="6" t="s">
        <v>87</v>
      </c>
      <c r="C111" s="6" t="s">
        <v>68</v>
      </c>
      <c r="D111" s="6" t="str">
        <f t="shared" si="1"/>
        <v>HABCPart C/D Health Plans</v>
      </c>
      <c r="E111" s="17" t="s">
        <v>45</v>
      </c>
      <c r="F111" s="17" t="s">
        <v>9</v>
      </c>
      <c r="G111" s="17" t="s">
        <v>9</v>
      </c>
    </row>
    <row r="112" spans="1:7" x14ac:dyDescent="0.45">
      <c r="A112" s="6" t="s">
        <v>41</v>
      </c>
      <c r="B112" s="6" t="s">
        <v>11</v>
      </c>
      <c r="C112" s="6" t="s">
        <v>58</v>
      </c>
      <c r="D112" s="6" t="str">
        <f t="shared" si="1"/>
        <v>LLFSSocial Security Number</v>
      </c>
      <c r="E112" s="17" t="s">
        <v>14</v>
      </c>
      <c r="F112" s="17" t="s">
        <v>9</v>
      </c>
      <c r="G112" s="17" t="s">
        <v>9</v>
      </c>
    </row>
    <row r="113" spans="1:7" x14ac:dyDescent="0.45">
      <c r="A113" s="6" t="s">
        <v>41</v>
      </c>
      <c r="B113" s="6" t="s">
        <v>11</v>
      </c>
      <c r="C113" s="6" t="s">
        <v>59</v>
      </c>
      <c r="D113" s="6" t="str">
        <f t="shared" si="1"/>
        <v>LLFSMedicare or Medicaid Beneficiary Number</v>
      </c>
      <c r="E113" s="17" t="s">
        <v>14</v>
      </c>
      <c r="F113" s="17" t="s">
        <v>9</v>
      </c>
      <c r="G113" s="17" t="s">
        <v>9</v>
      </c>
    </row>
    <row r="114" spans="1:7" x14ac:dyDescent="0.45">
      <c r="A114" s="6" t="s">
        <v>41</v>
      </c>
      <c r="B114" s="6" t="s">
        <v>11</v>
      </c>
      <c r="C114" s="6" t="s">
        <v>60</v>
      </c>
      <c r="D114" s="6" t="str">
        <f t="shared" si="1"/>
        <v>LLFSSurname</v>
      </c>
      <c r="E114" s="17" t="s">
        <v>14</v>
      </c>
      <c r="F114" s="17" t="s">
        <v>9</v>
      </c>
      <c r="G114" s="17" t="s">
        <v>9</v>
      </c>
    </row>
    <row r="115" spans="1:7" x14ac:dyDescent="0.45">
      <c r="A115" s="6" t="s">
        <v>41</v>
      </c>
      <c r="B115" s="6" t="s">
        <v>11</v>
      </c>
      <c r="C115" s="6" t="s">
        <v>61</v>
      </c>
      <c r="D115" s="6" t="str">
        <f t="shared" si="1"/>
        <v>LLFSBeneficiary Identification Number (BID) [Random]</v>
      </c>
      <c r="E115" s="17" t="s">
        <v>12</v>
      </c>
      <c r="F115" s="17" t="s">
        <v>9</v>
      </c>
      <c r="G115" s="17" t="s">
        <v>9</v>
      </c>
    </row>
    <row r="116" spans="1:7" x14ac:dyDescent="0.45">
      <c r="A116" s="6" t="s">
        <v>41</v>
      </c>
      <c r="B116" s="6" t="s">
        <v>11</v>
      </c>
      <c r="C116" s="6" t="s">
        <v>77</v>
      </c>
      <c r="D116" s="6" t="str">
        <f t="shared" si="1"/>
        <v>LLFSDate of Birth</v>
      </c>
      <c r="E116" s="18" t="s">
        <v>14</v>
      </c>
      <c r="F116" s="17" t="s">
        <v>9</v>
      </c>
      <c r="G116" s="17" t="s">
        <v>9</v>
      </c>
    </row>
    <row r="117" spans="1:7" x14ac:dyDescent="0.45">
      <c r="A117" s="6" t="s">
        <v>41</v>
      </c>
      <c r="B117" s="6" t="s">
        <v>11</v>
      </c>
      <c r="C117" s="6" t="s">
        <v>78</v>
      </c>
      <c r="D117" s="6" t="str">
        <f t="shared" si="1"/>
        <v>LLFSGender/Race</v>
      </c>
      <c r="E117" s="18" t="s">
        <v>62</v>
      </c>
      <c r="F117" s="17" t="s">
        <v>9</v>
      </c>
      <c r="G117" s="17" t="s">
        <v>9</v>
      </c>
    </row>
    <row r="118" spans="1:7" x14ac:dyDescent="0.45">
      <c r="A118" s="6" t="s">
        <v>41</v>
      </c>
      <c r="B118" s="6" t="s">
        <v>11</v>
      </c>
      <c r="C118" s="6" t="s">
        <v>63</v>
      </c>
      <c r="D118" s="6" t="str">
        <f t="shared" si="1"/>
        <v>LLFSExact Dates of Service</v>
      </c>
      <c r="E118" s="18" t="s">
        <v>14</v>
      </c>
      <c r="F118" s="17" t="s">
        <v>9</v>
      </c>
      <c r="G118" s="17" t="s">
        <v>9</v>
      </c>
    </row>
    <row r="119" spans="1:7" x14ac:dyDescent="0.45">
      <c r="A119" s="6" t="s">
        <v>41</v>
      </c>
      <c r="B119" s="6" t="s">
        <v>11</v>
      </c>
      <c r="C119" s="6" t="s">
        <v>64</v>
      </c>
      <c r="D119" s="6" t="str">
        <f t="shared" si="1"/>
        <v>LLFSBeneficiary State Code/County Code/Zip Code</v>
      </c>
      <c r="E119" s="18" t="s">
        <v>14</v>
      </c>
      <c r="F119" s="17" t="s">
        <v>9</v>
      </c>
      <c r="G119" s="17" t="s">
        <v>9</v>
      </c>
    </row>
    <row r="120" spans="1:7" x14ac:dyDescent="0.45">
      <c r="A120" s="6" t="s">
        <v>41</v>
      </c>
      <c r="B120" s="6" t="s">
        <v>11</v>
      </c>
      <c r="C120" s="6" t="s">
        <v>65</v>
      </c>
      <c r="D120" s="6" t="str">
        <f t="shared" si="1"/>
        <v>LLFSProvider Characteristics (e.g., National Provider Identifiers (NPIs), Unique Provider Identification Numbers (UPINs))</v>
      </c>
      <c r="E120" s="17" t="s">
        <v>14</v>
      </c>
      <c r="F120" s="17" t="s">
        <v>9</v>
      </c>
      <c r="G120" s="17" t="s">
        <v>9</v>
      </c>
    </row>
    <row r="121" spans="1:7" x14ac:dyDescent="0.45">
      <c r="A121" s="6" t="s">
        <v>41</v>
      </c>
      <c r="B121" s="6" t="s">
        <v>11</v>
      </c>
      <c r="C121" s="6" t="s">
        <v>66</v>
      </c>
      <c r="D121" s="6" t="str">
        <f t="shared" si="1"/>
        <v>LLFSCMS Certification Number (CCN)</v>
      </c>
      <c r="E121" s="17" t="s">
        <v>14</v>
      </c>
      <c r="F121" s="17" t="s">
        <v>9</v>
      </c>
      <c r="G121" s="17" t="s">
        <v>9</v>
      </c>
    </row>
    <row r="122" spans="1:7" x14ac:dyDescent="0.45">
      <c r="A122" s="6" t="s">
        <v>41</v>
      </c>
      <c r="B122" s="6" t="s">
        <v>11</v>
      </c>
      <c r="C122" s="6" t="s">
        <v>67</v>
      </c>
      <c r="D122" s="6" t="str">
        <f t="shared" si="1"/>
        <v>LLFSHospitals/Facilities</v>
      </c>
      <c r="E122" s="17" t="s">
        <v>14</v>
      </c>
      <c r="F122" s="17" t="s">
        <v>9</v>
      </c>
      <c r="G122" s="17" t="s">
        <v>9</v>
      </c>
    </row>
    <row r="123" spans="1:7" x14ac:dyDescent="0.45">
      <c r="A123" s="6" t="s">
        <v>41</v>
      </c>
      <c r="B123" s="6" t="s">
        <v>11</v>
      </c>
      <c r="C123" s="6" t="s">
        <v>68</v>
      </c>
      <c r="D123" s="6" t="str">
        <f t="shared" si="1"/>
        <v>LLFSPart C/D Health Plans</v>
      </c>
      <c r="E123" s="17" t="s">
        <v>14</v>
      </c>
      <c r="F123" s="17" t="s">
        <v>9</v>
      </c>
      <c r="G123" s="17" t="s">
        <v>9</v>
      </c>
    </row>
    <row r="124" spans="1:7" x14ac:dyDescent="0.45">
      <c r="A124" s="6" t="s">
        <v>404</v>
      </c>
      <c r="B124" s="6" t="s">
        <v>88</v>
      </c>
      <c r="C124" s="6" t="s">
        <v>58</v>
      </c>
      <c r="D124" s="6" t="str">
        <f t="shared" si="1"/>
        <v>MIDUSSocial Security Number</v>
      </c>
      <c r="E124" s="17" t="s">
        <v>14</v>
      </c>
      <c r="F124" s="17" t="s">
        <v>9</v>
      </c>
      <c r="G124" s="17" t="s">
        <v>9</v>
      </c>
    </row>
    <row r="125" spans="1:7" x14ac:dyDescent="0.45">
      <c r="A125" s="6" t="s">
        <v>404</v>
      </c>
      <c r="B125" s="6" t="s">
        <v>88</v>
      </c>
      <c r="C125" s="6" t="s">
        <v>59</v>
      </c>
      <c r="D125" s="6" t="str">
        <f t="shared" si="1"/>
        <v>MIDUSMedicare or Medicaid Beneficiary Number</v>
      </c>
      <c r="E125" s="17" t="s">
        <v>14</v>
      </c>
      <c r="F125" s="17" t="s">
        <v>9</v>
      </c>
      <c r="G125" s="17" t="s">
        <v>9</v>
      </c>
    </row>
    <row r="126" spans="1:7" x14ac:dyDescent="0.45">
      <c r="A126" s="6" t="s">
        <v>404</v>
      </c>
      <c r="B126" s="6" t="s">
        <v>88</v>
      </c>
      <c r="C126" s="6" t="s">
        <v>60</v>
      </c>
      <c r="D126" s="6" t="str">
        <f t="shared" si="1"/>
        <v>MIDUSSurname</v>
      </c>
      <c r="E126" s="17" t="s">
        <v>14</v>
      </c>
      <c r="F126" s="17" t="s">
        <v>9</v>
      </c>
      <c r="G126" s="17" t="s">
        <v>9</v>
      </c>
    </row>
    <row r="127" spans="1:7" x14ac:dyDescent="0.45">
      <c r="A127" s="6" t="s">
        <v>404</v>
      </c>
      <c r="B127" s="6" t="s">
        <v>88</v>
      </c>
      <c r="C127" s="6" t="s">
        <v>61</v>
      </c>
      <c r="D127" s="6" t="str">
        <f t="shared" si="1"/>
        <v>MIDUSBeneficiary Identification Number (BID) [Random]</v>
      </c>
      <c r="E127" s="17" t="s">
        <v>12</v>
      </c>
      <c r="F127" s="17" t="s">
        <v>9</v>
      </c>
      <c r="G127" s="17" t="s">
        <v>9</v>
      </c>
    </row>
    <row r="128" spans="1:7" x14ac:dyDescent="0.45">
      <c r="A128" s="6" t="s">
        <v>404</v>
      </c>
      <c r="B128" s="6" t="s">
        <v>88</v>
      </c>
      <c r="C128" s="6" t="s">
        <v>77</v>
      </c>
      <c r="D128" s="6" t="str">
        <f t="shared" si="1"/>
        <v>MIDUSDate of Birth</v>
      </c>
      <c r="E128" s="18" t="s">
        <v>62</v>
      </c>
      <c r="F128" s="17" t="s">
        <v>9</v>
      </c>
      <c r="G128" s="17" t="s">
        <v>9</v>
      </c>
    </row>
    <row r="129" spans="1:7" x14ac:dyDescent="0.45">
      <c r="A129" s="6" t="s">
        <v>404</v>
      </c>
      <c r="B129" s="6" t="s">
        <v>88</v>
      </c>
      <c r="C129" s="6" t="s">
        <v>78</v>
      </c>
      <c r="D129" s="6" t="str">
        <f t="shared" si="1"/>
        <v>MIDUSGender/Race</v>
      </c>
      <c r="E129" s="18" t="s">
        <v>62</v>
      </c>
      <c r="F129" s="17" t="s">
        <v>9</v>
      </c>
      <c r="G129" s="17" t="s">
        <v>9</v>
      </c>
    </row>
    <row r="130" spans="1:7" x14ac:dyDescent="0.45">
      <c r="A130" s="6" t="s">
        <v>404</v>
      </c>
      <c r="B130" s="6" t="s">
        <v>88</v>
      </c>
      <c r="C130" s="6" t="s">
        <v>63</v>
      </c>
      <c r="D130" s="6" t="str">
        <f t="shared" si="1"/>
        <v>MIDUSExact Dates of Service</v>
      </c>
      <c r="E130" s="18" t="s">
        <v>62</v>
      </c>
      <c r="F130" s="17" t="s">
        <v>9</v>
      </c>
      <c r="G130" s="17" t="s">
        <v>9</v>
      </c>
    </row>
    <row r="131" spans="1:7" x14ac:dyDescent="0.45">
      <c r="A131" s="6" t="s">
        <v>404</v>
      </c>
      <c r="B131" s="6" t="s">
        <v>88</v>
      </c>
      <c r="C131" s="6" t="s">
        <v>64</v>
      </c>
      <c r="D131" s="6" t="str">
        <f t="shared" si="1"/>
        <v>MIDUSBeneficiary State Code/County Code/Zip Code</v>
      </c>
      <c r="E131" s="18" t="s">
        <v>13</v>
      </c>
      <c r="F131" s="17" t="s">
        <v>9</v>
      </c>
      <c r="G131" s="17" t="s">
        <v>9</v>
      </c>
    </row>
    <row r="132" spans="1:7" x14ac:dyDescent="0.45">
      <c r="A132" s="6" t="s">
        <v>404</v>
      </c>
      <c r="B132" s="6" t="s">
        <v>88</v>
      </c>
      <c r="C132" s="6" t="s">
        <v>65</v>
      </c>
      <c r="D132" s="6" t="str">
        <f t="shared" si="1"/>
        <v>MIDUSProvider Characteristics (e.g., National Provider Identifiers (NPIs), Unique Provider Identification Numbers (UPINs))</v>
      </c>
      <c r="E132" s="18" t="s">
        <v>12</v>
      </c>
      <c r="F132" s="17" t="s">
        <v>9</v>
      </c>
      <c r="G132" s="17" t="s">
        <v>9</v>
      </c>
    </row>
    <row r="133" spans="1:7" x14ac:dyDescent="0.45">
      <c r="A133" s="6" t="s">
        <v>404</v>
      </c>
      <c r="B133" s="6" t="s">
        <v>88</v>
      </c>
      <c r="C133" s="6" t="s">
        <v>66</v>
      </c>
      <c r="D133" s="6" t="str">
        <f t="shared" ref="D133:D196" si="2">CONCATENATE(B133,C133)</f>
        <v>MIDUSCMS Certification Number (CCN)</v>
      </c>
      <c r="E133" s="18" t="s">
        <v>12</v>
      </c>
      <c r="F133" s="17" t="s">
        <v>9</v>
      </c>
      <c r="G133" s="17" t="s">
        <v>9</v>
      </c>
    </row>
    <row r="134" spans="1:7" x14ac:dyDescent="0.45">
      <c r="A134" s="6" t="s">
        <v>404</v>
      </c>
      <c r="B134" s="6" t="s">
        <v>88</v>
      </c>
      <c r="C134" s="6" t="s">
        <v>67</v>
      </c>
      <c r="D134" s="6" t="str">
        <f t="shared" si="2"/>
        <v>MIDUSHospitals/Facilities</v>
      </c>
      <c r="E134" s="18" t="s">
        <v>12</v>
      </c>
      <c r="F134" s="17" t="s">
        <v>9</v>
      </c>
      <c r="G134" s="17" t="s">
        <v>9</v>
      </c>
    </row>
    <row r="135" spans="1:7" x14ac:dyDescent="0.45">
      <c r="A135" s="6" t="s">
        <v>404</v>
      </c>
      <c r="B135" s="6" t="s">
        <v>88</v>
      </c>
      <c r="C135" s="6" t="s">
        <v>68</v>
      </c>
      <c r="D135" s="6" t="str">
        <f t="shared" si="2"/>
        <v>MIDUSPart C/D Health Plans</v>
      </c>
      <c r="E135" s="18" t="s">
        <v>45</v>
      </c>
      <c r="F135" s="17" t="s">
        <v>9</v>
      </c>
      <c r="G135" s="17" t="s">
        <v>9</v>
      </c>
    </row>
    <row r="136" spans="1:7" x14ac:dyDescent="0.45">
      <c r="A136" s="6" t="s">
        <v>38</v>
      </c>
      <c r="B136" s="6" t="s">
        <v>89</v>
      </c>
      <c r="C136" s="6" t="s">
        <v>58</v>
      </c>
      <c r="D136" s="6" t="str">
        <f t="shared" si="2"/>
        <v>NHATSSocial Security Number</v>
      </c>
      <c r="E136" s="17" t="s">
        <v>14</v>
      </c>
      <c r="F136" s="17" t="s">
        <v>9</v>
      </c>
      <c r="G136" s="17" t="s">
        <v>14</v>
      </c>
    </row>
    <row r="137" spans="1:7" x14ac:dyDescent="0.45">
      <c r="A137" s="6" t="s">
        <v>38</v>
      </c>
      <c r="B137" s="6" t="s">
        <v>89</v>
      </c>
      <c r="C137" s="6" t="s">
        <v>59</v>
      </c>
      <c r="D137" s="6" t="str">
        <f t="shared" si="2"/>
        <v>NHATSMedicare or Medicaid Beneficiary Number</v>
      </c>
      <c r="E137" s="17" t="s">
        <v>14</v>
      </c>
      <c r="F137" s="17" t="s">
        <v>9</v>
      </c>
      <c r="G137" s="17" t="s">
        <v>14</v>
      </c>
    </row>
    <row r="138" spans="1:7" x14ac:dyDescent="0.45">
      <c r="A138" s="6" t="s">
        <v>38</v>
      </c>
      <c r="B138" s="6" t="s">
        <v>89</v>
      </c>
      <c r="C138" s="6" t="s">
        <v>60</v>
      </c>
      <c r="D138" s="6" t="str">
        <f t="shared" si="2"/>
        <v>NHATSSurname</v>
      </c>
      <c r="E138" s="17" t="s">
        <v>14</v>
      </c>
      <c r="F138" s="17" t="s">
        <v>9</v>
      </c>
      <c r="G138" s="17" t="s">
        <v>14</v>
      </c>
    </row>
    <row r="139" spans="1:7" x14ac:dyDescent="0.45">
      <c r="A139" s="6" t="s">
        <v>38</v>
      </c>
      <c r="B139" s="6" t="s">
        <v>89</v>
      </c>
      <c r="C139" s="6" t="s">
        <v>61</v>
      </c>
      <c r="D139" s="6" t="str">
        <f t="shared" si="2"/>
        <v>NHATSBeneficiary Identification Number (BID) [Random]</v>
      </c>
      <c r="E139" s="17" t="s">
        <v>12</v>
      </c>
      <c r="F139" s="17" t="s">
        <v>9</v>
      </c>
      <c r="G139" s="17" t="s">
        <v>12</v>
      </c>
    </row>
    <row r="140" spans="1:7" x14ac:dyDescent="0.45">
      <c r="A140" s="6" t="s">
        <v>38</v>
      </c>
      <c r="B140" s="6" t="s">
        <v>89</v>
      </c>
      <c r="C140" s="6" t="s">
        <v>77</v>
      </c>
      <c r="D140" s="6" t="str">
        <f t="shared" si="2"/>
        <v>NHATSDate of Birth</v>
      </c>
      <c r="E140" s="18" t="s">
        <v>62</v>
      </c>
      <c r="F140" s="17" t="s">
        <v>9</v>
      </c>
      <c r="G140" s="18" t="s">
        <v>62</v>
      </c>
    </row>
    <row r="141" spans="1:7" x14ac:dyDescent="0.45">
      <c r="A141" s="6" t="s">
        <v>38</v>
      </c>
      <c r="B141" s="6" t="s">
        <v>89</v>
      </c>
      <c r="C141" s="6" t="s">
        <v>78</v>
      </c>
      <c r="D141" s="6" t="str">
        <f t="shared" si="2"/>
        <v>NHATSGender/Race</v>
      </c>
      <c r="E141" s="18" t="s">
        <v>62</v>
      </c>
      <c r="F141" s="17" t="s">
        <v>9</v>
      </c>
      <c r="G141" s="18" t="s">
        <v>62</v>
      </c>
    </row>
    <row r="142" spans="1:7" x14ac:dyDescent="0.45">
      <c r="A142" s="6" t="s">
        <v>38</v>
      </c>
      <c r="B142" s="6" t="s">
        <v>89</v>
      </c>
      <c r="C142" s="6" t="s">
        <v>63</v>
      </c>
      <c r="D142" s="6" t="str">
        <f t="shared" si="2"/>
        <v>NHATSExact Dates of Service</v>
      </c>
      <c r="E142" s="18" t="s">
        <v>62</v>
      </c>
      <c r="F142" s="17" t="s">
        <v>9</v>
      </c>
      <c r="G142" s="18" t="s">
        <v>62</v>
      </c>
    </row>
    <row r="143" spans="1:7" x14ac:dyDescent="0.45">
      <c r="A143" s="6" t="s">
        <v>38</v>
      </c>
      <c r="B143" s="6" t="s">
        <v>89</v>
      </c>
      <c r="C143" s="6" t="s">
        <v>64</v>
      </c>
      <c r="D143" s="6" t="str">
        <f t="shared" si="2"/>
        <v>NHATSBeneficiary State Code/County Code/Zip Code</v>
      </c>
      <c r="E143" s="18" t="s">
        <v>14</v>
      </c>
      <c r="F143" s="17" t="s">
        <v>9</v>
      </c>
      <c r="G143" s="18" t="s">
        <v>14</v>
      </c>
    </row>
    <row r="144" spans="1:7" x14ac:dyDescent="0.45">
      <c r="A144" s="6" t="s">
        <v>38</v>
      </c>
      <c r="B144" s="6" t="s">
        <v>89</v>
      </c>
      <c r="C144" s="6" t="s">
        <v>65</v>
      </c>
      <c r="D144" s="6" t="str">
        <f t="shared" si="2"/>
        <v>NHATSProvider Characteristics (e.g., National Provider Identifiers (NPIs), Unique Provider Identification Numbers (UPINs))</v>
      </c>
      <c r="E144" s="17" t="s">
        <v>14</v>
      </c>
      <c r="F144" s="17" t="s">
        <v>9</v>
      </c>
      <c r="G144" s="18" t="s">
        <v>62</v>
      </c>
    </row>
    <row r="145" spans="1:7" x14ac:dyDescent="0.45">
      <c r="A145" s="6" t="s">
        <v>38</v>
      </c>
      <c r="B145" s="6" t="s">
        <v>89</v>
      </c>
      <c r="C145" s="6" t="s">
        <v>66</v>
      </c>
      <c r="D145" s="6" t="str">
        <f t="shared" si="2"/>
        <v>NHATSCMS Certification Number (CCN)</v>
      </c>
      <c r="E145" s="17" t="s">
        <v>14</v>
      </c>
      <c r="F145" s="17" t="s">
        <v>9</v>
      </c>
      <c r="G145" s="18" t="s">
        <v>62</v>
      </c>
    </row>
    <row r="146" spans="1:7" x14ac:dyDescent="0.45">
      <c r="A146" s="6" t="s">
        <v>38</v>
      </c>
      <c r="B146" s="6" t="s">
        <v>89</v>
      </c>
      <c r="C146" s="6" t="s">
        <v>67</v>
      </c>
      <c r="D146" s="6" t="str">
        <f t="shared" si="2"/>
        <v>NHATSHospitals/Facilities</v>
      </c>
      <c r="E146" s="17" t="s">
        <v>14</v>
      </c>
      <c r="F146" s="17" t="s">
        <v>9</v>
      </c>
      <c r="G146" s="18" t="s">
        <v>62</v>
      </c>
    </row>
    <row r="147" spans="1:7" x14ac:dyDescent="0.45">
      <c r="A147" s="6" t="s">
        <v>38</v>
      </c>
      <c r="B147" s="6" t="s">
        <v>89</v>
      </c>
      <c r="C147" s="6" t="s">
        <v>68</v>
      </c>
      <c r="D147" s="6" t="str">
        <f t="shared" si="2"/>
        <v>NHATSPart C/D Health Plans</v>
      </c>
      <c r="E147" s="17" t="s">
        <v>45</v>
      </c>
      <c r="F147" s="17" t="s">
        <v>9</v>
      </c>
      <c r="G147" s="18" t="s">
        <v>62</v>
      </c>
    </row>
    <row r="148" spans="1:7" x14ac:dyDescent="0.45">
      <c r="A148" s="6" t="s">
        <v>42</v>
      </c>
      <c r="B148" s="6" t="s">
        <v>10</v>
      </c>
      <c r="C148" s="6" t="s">
        <v>58</v>
      </c>
      <c r="D148" s="6" t="str">
        <f t="shared" si="2"/>
        <v>NLTCSSocial Security Number</v>
      </c>
      <c r="E148" s="17" t="s">
        <v>14</v>
      </c>
      <c r="F148" s="17" t="s">
        <v>9</v>
      </c>
      <c r="G148" s="17" t="s">
        <v>9</v>
      </c>
    </row>
    <row r="149" spans="1:7" x14ac:dyDescent="0.45">
      <c r="A149" s="6" t="s">
        <v>42</v>
      </c>
      <c r="B149" s="6" t="s">
        <v>10</v>
      </c>
      <c r="C149" s="6" t="s">
        <v>59</v>
      </c>
      <c r="D149" s="6" t="str">
        <f t="shared" si="2"/>
        <v>NLTCSMedicare or Medicaid Beneficiary Number</v>
      </c>
      <c r="E149" s="17" t="s">
        <v>14</v>
      </c>
      <c r="F149" s="17" t="s">
        <v>9</v>
      </c>
      <c r="G149" s="17" t="s">
        <v>9</v>
      </c>
    </row>
    <row r="150" spans="1:7" x14ac:dyDescent="0.45">
      <c r="A150" s="6" t="s">
        <v>42</v>
      </c>
      <c r="B150" s="6" t="s">
        <v>10</v>
      </c>
      <c r="C150" s="6" t="s">
        <v>60</v>
      </c>
      <c r="D150" s="6" t="str">
        <f t="shared" si="2"/>
        <v>NLTCSSurname</v>
      </c>
      <c r="E150" s="17" t="s">
        <v>14</v>
      </c>
      <c r="F150" s="17" t="s">
        <v>9</v>
      </c>
      <c r="G150" s="17" t="s">
        <v>9</v>
      </c>
    </row>
    <row r="151" spans="1:7" x14ac:dyDescent="0.45">
      <c r="A151" s="6" t="s">
        <v>42</v>
      </c>
      <c r="B151" s="6" t="s">
        <v>10</v>
      </c>
      <c r="C151" s="6" t="s">
        <v>61</v>
      </c>
      <c r="D151" s="6" t="str">
        <f t="shared" si="2"/>
        <v>NLTCSBeneficiary Identification Number (BID) [Random]</v>
      </c>
      <c r="E151" s="17" t="s">
        <v>12</v>
      </c>
      <c r="F151" s="17" t="s">
        <v>9</v>
      </c>
      <c r="G151" s="17" t="s">
        <v>9</v>
      </c>
    </row>
    <row r="152" spans="1:7" x14ac:dyDescent="0.45">
      <c r="A152" s="6" t="s">
        <v>42</v>
      </c>
      <c r="B152" s="6" t="s">
        <v>10</v>
      </c>
      <c r="C152" s="6" t="s">
        <v>77</v>
      </c>
      <c r="D152" s="6" t="str">
        <f t="shared" si="2"/>
        <v>NLTCSDate of Birth</v>
      </c>
      <c r="E152" s="18" t="s">
        <v>45</v>
      </c>
      <c r="F152" s="17" t="s">
        <v>9</v>
      </c>
      <c r="G152" s="17" t="s">
        <v>9</v>
      </c>
    </row>
    <row r="153" spans="1:7" x14ac:dyDescent="0.45">
      <c r="A153" s="6" t="s">
        <v>42</v>
      </c>
      <c r="B153" s="6" t="s">
        <v>10</v>
      </c>
      <c r="C153" s="6" t="s">
        <v>78</v>
      </c>
      <c r="D153" s="6" t="str">
        <f t="shared" si="2"/>
        <v>NLTCSGender/Race</v>
      </c>
      <c r="E153" s="18" t="s">
        <v>62</v>
      </c>
      <c r="F153" s="17" t="s">
        <v>9</v>
      </c>
      <c r="G153" s="17" t="s">
        <v>9</v>
      </c>
    </row>
    <row r="154" spans="1:7" x14ac:dyDescent="0.45">
      <c r="A154" s="6" t="s">
        <v>42</v>
      </c>
      <c r="B154" s="6" t="s">
        <v>10</v>
      </c>
      <c r="C154" s="6" t="s">
        <v>63</v>
      </c>
      <c r="D154" s="6" t="str">
        <f t="shared" si="2"/>
        <v>NLTCSExact Dates of Service</v>
      </c>
      <c r="E154" s="18" t="s">
        <v>62</v>
      </c>
      <c r="F154" s="17" t="s">
        <v>9</v>
      </c>
      <c r="G154" s="17" t="s">
        <v>9</v>
      </c>
    </row>
    <row r="155" spans="1:7" x14ac:dyDescent="0.45">
      <c r="A155" s="6" t="s">
        <v>42</v>
      </c>
      <c r="B155" s="6" t="s">
        <v>10</v>
      </c>
      <c r="C155" s="6" t="s">
        <v>64</v>
      </c>
      <c r="D155" s="6" t="str">
        <f t="shared" si="2"/>
        <v>NLTCSBeneficiary State Code/County Code/Zip Code</v>
      </c>
      <c r="E155" s="18" t="s">
        <v>13</v>
      </c>
      <c r="F155" s="17" t="s">
        <v>9</v>
      </c>
      <c r="G155" s="17" t="s">
        <v>9</v>
      </c>
    </row>
    <row r="156" spans="1:7" x14ac:dyDescent="0.45">
      <c r="A156" s="6" t="s">
        <v>42</v>
      </c>
      <c r="B156" s="6" t="s">
        <v>10</v>
      </c>
      <c r="C156" s="6" t="s">
        <v>65</v>
      </c>
      <c r="D156" s="6" t="str">
        <f t="shared" si="2"/>
        <v>NLTCSProvider Characteristics (e.g., National Provider Identifiers (NPIs), Unique Provider Identification Numbers (UPINs))</v>
      </c>
      <c r="E156" s="17" t="s">
        <v>12</v>
      </c>
      <c r="F156" s="17" t="s">
        <v>9</v>
      </c>
      <c r="G156" s="17" t="s">
        <v>9</v>
      </c>
    </row>
    <row r="157" spans="1:7" x14ac:dyDescent="0.45">
      <c r="A157" s="6" t="s">
        <v>42</v>
      </c>
      <c r="B157" s="6" t="s">
        <v>10</v>
      </c>
      <c r="C157" s="6" t="s">
        <v>66</v>
      </c>
      <c r="D157" s="6" t="str">
        <f t="shared" si="2"/>
        <v>NLTCSCMS Certification Number (CCN)</v>
      </c>
      <c r="E157" s="17" t="s">
        <v>12</v>
      </c>
      <c r="F157" s="17" t="s">
        <v>9</v>
      </c>
      <c r="G157" s="17" t="s">
        <v>9</v>
      </c>
    </row>
    <row r="158" spans="1:7" x14ac:dyDescent="0.45">
      <c r="A158" s="6" t="s">
        <v>42</v>
      </c>
      <c r="B158" s="6" t="s">
        <v>10</v>
      </c>
      <c r="C158" s="6" t="s">
        <v>67</v>
      </c>
      <c r="D158" s="6" t="str">
        <f t="shared" si="2"/>
        <v>NLTCSHospitals/Facilities</v>
      </c>
      <c r="E158" s="17" t="s">
        <v>12</v>
      </c>
      <c r="F158" s="17" t="s">
        <v>9</v>
      </c>
      <c r="G158" s="17" t="s">
        <v>9</v>
      </c>
    </row>
    <row r="159" spans="1:7" x14ac:dyDescent="0.45">
      <c r="A159" s="6" t="s">
        <v>42</v>
      </c>
      <c r="B159" s="6" t="s">
        <v>10</v>
      </c>
      <c r="C159" s="6" t="s">
        <v>68</v>
      </c>
      <c r="D159" s="6" t="str">
        <f t="shared" si="2"/>
        <v>NLTCSPart C/D Health Plans</v>
      </c>
      <c r="E159" s="17" t="s">
        <v>45</v>
      </c>
      <c r="F159" s="17" t="s">
        <v>9</v>
      </c>
      <c r="G159" s="17" t="s">
        <v>9</v>
      </c>
    </row>
    <row r="160" spans="1:7" x14ac:dyDescent="0.45">
      <c r="A160" s="6" t="s">
        <v>39</v>
      </c>
      <c r="B160" s="6" t="s">
        <v>90</v>
      </c>
      <c r="C160" s="6" t="s">
        <v>58</v>
      </c>
      <c r="D160" s="6" t="str">
        <f t="shared" si="2"/>
        <v>NSHAPSocial Security Number</v>
      </c>
      <c r="E160" s="17" t="s">
        <v>14</v>
      </c>
      <c r="F160" s="17" t="s">
        <v>14</v>
      </c>
      <c r="G160" s="17" t="s">
        <v>14</v>
      </c>
    </row>
    <row r="161" spans="1:7" x14ac:dyDescent="0.45">
      <c r="A161" s="6" t="s">
        <v>39</v>
      </c>
      <c r="B161" s="6" t="s">
        <v>90</v>
      </c>
      <c r="C161" s="6" t="s">
        <v>59</v>
      </c>
      <c r="D161" s="6" t="str">
        <f t="shared" si="2"/>
        <v>NSHAPMedicare or Medicaid Beneficiary Number</v>
      </c>
      <c r="E161" s="17" t="s">
        <v>14</v>
      </c>
      <c r="F161" s="17" t="s">
        <v>14</v>
      </c>
      <c r="G161" s="17" t="s">
        <v>14</v>
      </c>
    </row>
    <row r="162" spans="1:7" x14ac:dyDescent="0.45">
      <c r="A162" s="6" t="s">
        <v>39</v>
      </c>
      <c r="B162" s="6" t="s">
        <v>90</v>
      </c>
      <c r="C162" s="6" t="s">
        <v>60</v>
      </c>
      <c r="D162" s="6" t="str">
        <f t="shared" si="2"/>
        <v>NSHAPSurname</v>
      </c>
      <c r="E162" s="17" t="s">
        <v>14</v>
      </c>
      <c r="F162" s="17" t="s">
        <v>14</v>
      </c>
      <c r="G162" s="17" t="s">
        <v>14</v>
      </c>
    </row>
    <row r="163" spans="1:7" x14ac:dyDescent="0.45">
      <c r="A163" s="6" t="s">
        <v>39</v>
      </c>
      <c r="B163" s="6" t="s">
        <v>90</v>
      </c>
      <c r="C163" s="6" t="s">
        <v>61</v>
      </c>
      <c r="D163" s="6" t="str">
        <f t="shared" si="2"/>
        <v>NSHAPBeneficiary Identification Number (BID) [Random]</v>
      </c>
      <c r="E163" s="17" t="s">
        <v>12</v>
      </c>
      <c r="F163" s="17" t="s">
        <v>12</v>
      </c>
      <c r="G163" s="17" t="s">
        <v>12</v>
      </c>
    </row>
    <row r="164" spans="1:7" x14ac:dyDescent="0.45">
      <c r="A164" s="6" t="s">
        <v>39</v>
      </c>
      <c r="B164" s="6" t="s">
        <v>90</v>
      </c>
      <c r="C164" s="6" t="s">
        <v>77</v>
      </c>
      <c r="D164" s="6" t="str">
        <f t="shared" si="2"/>
        <v>NSHAPDate of Birth</v>
      </c>
      <c r="E164" s="18" t="s">
        <v>62</v>
      </c>
      <c r="F164" s="18" t="s">
        <v>62</v>
      </c>
      <c r="G164" s="18" t="s">
        <v>62</v>
      </c>
    </row>
    <row r="165" spans="1:7" x14ac:dyDescent="0.45">
      <c r="A165" s="6" t="s">
        <v>39</v>
      </c>
      <c r="B165" s="6" t="s">
        <v>90</v>
      </c>
      <c r="C165" s="6" t="s">
        <v>78</v>
      </c>
      <c r="D165" s="6" t="str">
        <f t="shared" si="2"/>
        <v>NSHAPGender/Race</v>
      </c>
      <c r="E165" s="18" t="s">
        <v>62</v>
      </c>
      <c r="F165" s="18" t="s">
        <v>62</v>
      </c>
      <c r="G165" s="18" t="s">
        <v>62</v>
      </c>
    </row>
    <row r="166" spans="1:7" x14ac:dyDescent="0.45">
      <c r="A166" s="6" t="s">
        <v>39</v>
      </c>
      <c r="B166" s="6" t="s">
        <v>90</v>
      </c>
      <c r="C166" s="6" t="s">
        <v>63</v>
      </c>
      <c r="D166" s="6" t="str">
        <f t="shared" si="2"/>
        <v>NSHAPExact Dates of Service</v>
      </c>
      <c r="E166" s="18" t="s">
        <v>62</v>
      </c>
      <c r="F166" s="18" t="s">
        <v>62</v>
      </c>
      <c r="G166" s="18" t="s">
        <v>62</v>
      </c>
    </row>
    <row r="167" spans="1:7" x14ac:dyDescent="0.45">
      <c r="A167" s="6" t="s">
        <v>39</v>
      </c>
      <c r="B167" s="6" t="s">
        <v>90</v>
      </c>
      <c r="C167" s="6" t="s">
        <v>64</v>
      </c>
      <c r="D167" s="6" t="str">
        <f t="shared" si="2"/>
        <v>NSHAPBeneficiary State Code/County Code/Zip Code</v>
      </c>
      <c r="E167" s="18" t="s">
        <v>13</v>
      </c>
      <c r="F167" s="18" t="s">
        <v>62</v>
      </c>
      <c r="G167" s="18" t="s">
        <v>62</v>
      </c>
    </row>
    <row r="168" spans="1:7" x14ac:dyDescent="0.45">
      <c r="A168" s="6" t="s">
        <v>39</v>
      </c>
      <c r="B168" s="6" t="s">
        <v>90</v>
      </c>
      <c r="C168" s="6" t="s">
        <v>65</v>
      </c>
      <c r="D168" s="6" t="str">
        <f t="shared" si="2"/>
        <v>NSHAPProvider Characteristics (e.g., National Provider Identifiers (NPIs), Unique Provider Identification Numbers (UPINs))</v>
      </c>
      <c r="E168" s="17" t="s">
        <v>12</v>
      </c>
      <c r="F168" s="17" t="s">
        <v>12</v>
      </c>
      <c r="G168" s="18" t="s">
        <v>62</v>
      </c>
    </row>
    <row r="169" spans="1:7" x14ac:dyDescent="0.45">
      <c r="A169" s="6" t="s">
        <v>39</v>
      </c>
      <c r="B169" s="6" t="s">
        <v>90</v>
      </c>
      <c r="C169" s="6" t="s">
        <v>66</v>
      </c>
      <c r="D169" s="6" t="str">
        <f t="shared" si="2"/>
        <v>NSHAPCMS Certification Number (CCN)</v>
      </c>
      <c r="E169" s="17" t="s">
        <v>12</v>
      </c>
      <c r="F169" s="17" t="s">
        <v>12</v>
      </c>
      <c r="G169" s="18" t="s">
        <v>62</v>
      </c>
    </row>
    <row r="170" spans="1:7" x14ac:dyDescent="0.45">
      <c r="A170" s="6" t="s">
        <v>39</v>
      </c>
      <c r="B170" s="6" t="s">
        <v>90</v>
      </c>
      <c r="C170" s="6" t="s">
        <v>67</v>
      </c>
      <c r="D170" s="6" t="str">
        <f t="shared" si="2"/>
        <v>NSHAPHospitals/Facilities</v>
      </c>
      <c r="E170" s="17" t="s">
        <v>12</v>
      </c>
      <c r="F170" s="17" t="s">
        <v>12</v>
      </c>
      <c r="G170" s="18" t="s">
        <v>62</v>
      </c>
    </row>
    <row r="171" spans="1:7" x14ac:dyDescent="0.45">
      <c r="A171" s="6" t="s">
        <v>39</v>
      </c>
      <c r="B171" s="6" t="s">
        <v>90</v>
      </c>
      <c r="C171" s="6" t="s">
        <v>68</v>
      </c>
      <c r="D171" s="6" t="str">
        <f t="shared" si="2"/>
        <v>NSHAPPart C/D Health Plans</v>
      </c>
      <c r="E171" s="17" t="s">
        <v>45</v>
      </c>
      <c r="F171" s="17" t="s">
        <v>45</v>
      </c>
      <c r="G171" s="18" t="s">
        <v>62</v>
      </c>
    </row>
    <row r="172" spans="1:7" x14ac:dyDescent="0.45">
      <c r="A172" s="6" t="s">
        <v>43</v>
      </c>
      <c r="B172" s="6" t="s">
        <v>91</v>
      </c>
      <c r="C172" s="6" t="s">
        <v>58</v>
      </c>
      <c r="D172" s="6" t="str">
        <f t="shared" si="2"/>
        <v>PSIDSocial Security Number</v>
      </c>
      <c r="E172" s="17" t="s">
        <v>14</v>
      </c>
      <c r="F172" s="17" t="s">
        <v>9</v>
      </c>
      <c r="G172" s="17" t="s">
        <v>9</v>
      </c>
    </row>
    <row r="173" spans="1:7" x14ac:dyDescent="0.45">
      <c r="A173" s="6" t="s">
        <v>43</v>
      </c>
      <c r="B173" s="6" t="s">
        <v>91</v>
      </c>
      <c r="C173" s="6" t="s">
        <v>59</v>
      </c>
      <c r="D173" s="6" t="str">
        <f t="shared" si="2"/>
        <v>PSIDMedicare or Medicaid Beneficiary Number</v>
      </c>
      <c r="E173" s="17" t="s">
        <v>14</v>
      </c>
      <c r="F173" s="17" t="s">
        <v>9</v>
      </c>
      <c r="G173" s="17" t="s">
        <v>9</v>
      </c>
    </row>
    <row r="174" spans="1:7" x14ac:dyDescent="0.45">
      <c r="A174" s="6" t="s">
        <v>43</v>
      </c>
      <c r="B174" s="6" t="s">
        <v>91</v>
      </c>
      <c r="C174" s="6" t="s">
        <v>60</v>
      </c>
      <c r="D174" s="6" t="str">
        <f t="shared" si="2"/>
        <v>PSIDSurname</v>
      </c>
      <c r="E174" s="17" t="s">
        <v>14</v>
      </c>
      <c r="F174" s="17" t="s">
        <v>9</v>
      </c>
      <c r="G174" s="17" t="s">
        <v>9</v>
      </c>
    </row>
    <row r="175" spans="1:7" x14ac:dyDescent="0.45">
      <c r="A175" s="6" t="s">
        <v>43</v>
      </c>
      <c r="B175" s="6" t="s">
        <v>91</v>
      </c>
      <c r="C175" s="6" t="s">
        <v>61</v>
      </c>
      <c r="D175" s="6" t="str">
        <f t="shared" si="2"/>
        <v>PSIDBeneficiary Identification Number (BID) [Random]</v>
      </c>
      <c r="E175" s="17" t="s">
        <v>12</v>
      </c>
      <c r="F175" s="17" t="s">
        <v>9</v>
      </c>
      <c r="G175" s="17" t="s">
        <v>9</v>
      </c>
    </row>
    <row r="176" spans="1:7" x14ac:dyDescent="0.45">
      <c r="A176" s="6" t="s">
        <v>43</v>
      </c>
      <c r="B176" s="6" t="s">
        <v>91</v>
      </c>
      <c r="C176" s="6" t="s">
        <v>77</v>
      </c>
      <c r="D176" s="6" t="str">
        <f t="shared" si="2"/>
        <v>PSIDDate of Birth</v>
      </c>
      <c r="E176" s="18" t="s">
        <v>45</v>
      </c>
      <c r="F176" s="17" t="s">
        <v>9</v>
      </c>
      <c r="G176" s="17" t="s">
        <v>9</v>
      </c>
    </row>
    <row r="177" spans="1:7" x14ac:dyDescent="0.45">
      <c r="A177" s="6" t="s">
        <v>43</v>
      </c>
      <c r="B177" s="6" t="s">
        <v>91</v>
      </c>
      <c r="C177" s="6" t="s">
        <v>78</v>
      </c>
      <c r="D177" s="6" t="str">
        <f t="shared" si="2"/>
        <v>PSIDGender/Race</v>
      </c>
      <c r="E177" s="18" t="s">
        <v>62</v>
      </c>
      <c r="F177" s="17" t="s">
        <v>9</v>
      </c>
      <c r="G177" s="17" t="s">
        <v>9</v>
      </c>
    </row>
    <row r="178" spans="1:7" x14ac:dyDescent="0.45">
      <c r="A178" s="6" t="s">
        <v>43</v>
      </c>
      <c r="B178" s="6" t="s">
        <v>91</v>
      </c>
      <c r="C178" s="6" t="s">
        <v>63</v>
      </c>
      <c r="D178" s="6" t="str">
        <f t="shared" si="2"/>
        <v>PSIDExact Dates of Service</v>
      </c>
      <c r="E178" s="18" t="s">
        <v>62</v>
      </c>
      <c r="F178" s="17" t="s">
        <v>9</v>
      </c>
      <c r="G178" s="17" t="s">
        <v>9</v>
      </c>
    </row>
    <row r="179" spans="1:7" x14ac:dyDescent="0.45">
      <c r="A179" s="6" t="s">
        <v>43</v>
      </c>
      <c r="B179" s="6" t="s">
        <v>91</v>
      </c>
      <c r="C179" s="6" t="s">
        <v>64</v>
      </c>
      <c r="D179" s="6" t="str">
        <f t="shared" si="2"/>
        <v>PSIDBeneficiary State Code/County Code/Zip Code</v>
      </c>
      <c r="E179" s="18" t="s">
        <v>13</v>
      </c>
      <c r="F179" s="17" t="s">
        <v>9</v>
      </c>
      <c r="G179" s="17" t="s">
        <v>9</v>
      </c>
    </row>
    <row r="180" spans="1:7" x14ac:dyDescent="0.45">
      <c r="A180" s="6" t="s">
        <v>43</v>
      </c>
      <c r="B180" s="6" t="s">
        <v>91</v>
      </c>
      <c r="C180" s="6" t="s">
        <v>65</v>
      </c>
      <c r="D180" s="6" t="str">
        <f t="shared" si="2"/>
        <v>PSIDProvider Characteristics (e.g., National Provider Identifiers (NPIs), Unique Provider Identification Numbers (UPINs))</v>
      </c>
      <c r="E180" s="17" t="s">
        <v>12</v>
      </c>
      <c r="F180" s="17" t="s">
        <v>9</v>
      </c>
      <c r="G180" s="17" t="s">
        <v>9</v>
      </c>
    </row>
    <row r="181" spans="1:7" x14ac:dyDescent="0.45">
      <c r="A181" s="6" t="s">
        <v>43</v>
      </c>
      <c r="B181" s="6" t="s">
        <v>91</v>
      </c>
      <c r="C181" s="6" t="s">
        <v>66</v>
      </c>
      <c r="D181" s="6" t="str">
        <f t="shared" si="2"/>
        <v>PSIDCMS Certification Number (CCN)</v>
      </c>
      <c r="E181" s="17" t="s">
        <v>12</v>
      </c>
      <c r="F181" s="17" t="s">
        <v>9</v>
      </c>
      <c r="G181" s="17" t="s">
        <v>9</v>
      </c>
    </row>
    <row r="182" spans="1:7" x14ac:dyDescent="0.45">
      <c r="A182" s="6" t="s">
        <v>43</v>
      </c>
      <c r="B182" s="6" t="s">
        <v>91</v>
      </c>
      <c r="C182" s="6" t="s">
        <v>67</v>
      </c>
      <c r="D182" s="6" t="str">
        <f t="shared" si="2"/>
        <v>PSIDHospitals/Facilities</v>
      </c>
      <c r="E182" s="17" t="s">
        <v>12</v>
      </c>
      <c r="F182" s="17" t="s">
        <v>9</v>
      </c>
      <c r="G182" s="17" t="s">
        <v>9</v>
      </c>
    </row>
    <row r="183" spans="1:7" x14ac:dyDescent="0.45">
      <c r="A183" s="6" t="s">
        <v>43</v>
      </c>
      <c r="B183" s="6" t="s">
        <v>91</v>
      </c>
      <c r="C183" s="6" t="s">
        <v>68</v>
      </c>
      <c r="D183" s="6" t="str">
        <f t="shared" si="2"/>
        <v>PSIDPart C/D Health Plans</v>
      </c>
      <c r="E183" s="17" t="s">
        <v>45</v>
      </c>
      <c r="F183" s="17" t="s">
        <v>9</v>
      </c>
      <c r="G183" s="17" t="s">
        <v>9</v>
      </c>
    </row>
    <row r="184" spans="1:7" x14ac:dyDescent="0.45">
      <c r="A184" s="6" t="s">
        <v>258</v>
      </c>
      <c r="B184" s="6" t="s">
        <v>92</v>
      </c>
      <c r="C184" s="6" t="s">
        <v>58</v>
      </c>
      <c r="D184" s="6" t="str">
        <f t="shared" si="2"/>
        <v>PTSocial Security Number</v>
      </c>
      <c r="E184" s="17" t="s">
        <v>14</v>
      </c>
      <c r="F184" s="17" t="s">
        <v>9</v>
      </c>
      <c r="G184" s="17" t="s">
        <v>9</v>
      </c>
    </row>
    <row r="185" spans="1:7" x14ac:dyDescent="0.45">
      <c r="A185" s="6" t="s">
        <v>258</v>
      </c>
      <c r="B185" s="6" t="s">
        <v>92</v>
      </c>
      <c r="C185" s="6" t="s">
        <v>59</v>
      </c>
      <c r="D185" s="6" t="str">
        <f t="shared" si="2"/>
        <v>PTMedicare or Medicaid Beneficiary Number</v>
      </c>
      <c r="E185" s="17" t="s">
        <v>14</v>
      </c>
      <c r="F185" s="17" t="s">
        <v>9</v>
      </c>
      <c r="G185" s="17" t="s">
        <v>9</v>
      </c>
    </row>
    <row r="186" spans="1:7" x14ac:dyDescent="0.45">
      <c r="A186" s="6" t="s">
        <v>258</v>
      </c>
      <c r="B186" s="6" t="s">
        <v>92</v>
      </c>
      <c r="C186" s="6" t="s">
        <v>60</v>
      </c>
      <c r="D186" s="6" t="str">
        <f t="shared" si="2"/>
        <v>PTSurname</v>
      </c>
      <c r="E186" s="17" t="s">
        <v>14</v>
      </c>
      <c r="F186" s="17" t="s">
        <v>9</v>
      </c>
      <c r="G186" s="17" t="s">
        <v>9</v>
      </c>
    </row>
    <row r="187" spans="1:7" x14ac:dyDescent="0.45">
      <c r="A187" s="6" t="s">
        <v>258</v>
      </c>
      <c r="B187" s="6" t="s">
        <v>92</v>
      </c>
      <c r="C187" s="6" t="s">
        <v>61</v>
      </c>
      <c r="D187" s="6" t="str">
        <f t="shared" si="2"/>
        <v>PTBeneficiary Identification Number (BID) [Random]</v>
      </c>
      <c r="E187" s="17" t="s">
        <v>12</v>
      </c>
      <c r="F187" s="17" t="s">
        <v>9</v>
      </c>
      <c r="G187" s="17" t="s">
        <v>9</v>
      </c>
    </row>
    <row r="188" spans="1:7" x14ac:dyDescent="0.45">
      <c r="A188" s="6" t="s">
        <v>258</v>
      </c>
      <c r="B188" s="6" t="s">
        <v>92</v>
      </c>
      <c r="C188" s="6" t="s">
        <v>77</v>
      </c>
      <c r="D188" s="6" t="str">
        <f t="shared" si="2"/>
        <v>PTDate of Birth</v>
      </c>
      <c r="E188" s="17" t="s">
        <v>45</v>
      </c>
      <c r="F188" s="17" t="s">
        <v>9</v>
      </c>
      <c r="G188" s="17" t="s">
        <v>9</v>
      </c>
    </row>
    <row r="189" spans="1:7" x14ac:dyDescent="0.45">
      <c r="A189" s="6" t="s">
        <v>258</v>
      </c>
      <c r="B189" s="6" t="s">
        <v>92</v>
      </c>
      <c r="C189" s="6" t="s">
        <v>78</v>
      </c>
      <c r="D189" s="6" t="str">
        <f t="shared" si="2"/>
        <v>PTGender/Race</v>
      </c>
      <c r="E189" s="18" t="s">
        <v>62</v>
      </c>
      <c r="F189" s="17" t="s">
        <v>9</v>
      </c>
      <c r="G189" s="17" t="s">
        <v>9</v>
      </c>
    </row>
    <row r="190" spans="1:7" x14ac:dyDescent="0.45">
      <c r="A190" s="6" t="s">
        <v>258</v>
      </c>
      <c r="B190" s="6" t="s">
        <v>92</v>
      </c>
      <c r="C190" s="6" t="s">
        <v>63</v>
      </c>
      <c r="D190" s="6" t="str">
        <f t="shared" si="2"/>
        <v>PTExact Dates of Service</v>
      </c>
      <c r="E190" s="18" t="s">
        <v>62</v>
      </c>
      <c r="F190" s="17" t="s">
        <v>9</v>
      </c>
      <c r="G190" s="17" t="s">
        <v>9</v>
      </c>
    </row>
    <row r="191" spans="1:7" x14ac:dyDescent="0.45">
      <c r="A191" s="6" t="s">
        <v>258</v>
      </c>
      <c r="B191" s="6" t="s">
        <v>92</v>
      </c>
      <c r="C191" s="6" t="s">
        <v>64</v>
      </c>
      <c r="D191" s="6" t="str">
        <f t="shared" si="2"/>
        <v>PTBeneficiary State Code/County Code/Zip Code</v>
      </c>
      <c r="E191" s="18" t="s">
        <v>13</v>
      </c>
      <c r="F191" s="17" t="s">
        <v>9</v>
      </c>
      <c r="G191" s="17" t="s">
        <v>9</v>
      </c>
    </row>
    <row r="192" spans="1:7" x14ac:dyDescent="0.45">
      <c r="A192" s="6" t="s">
        <v>258</v>
      </c>
      <c r="B192" s="6" t="s">
        <v>92</v>
      </c>
      <c r="C192" s="6" t="s">
        <v>65</v>
      </c>
      <c r="D192" s="6" t="str">
        <f t="shared" si="2"/>
        <v>PTProvider Characteristics (e.g., National Provider Identifiers (NPIs), Unique Provider Identification Numbers (UPINs))</v>
      </c>
      <c r="E192" s="17" t="s">
        <v>12</v>
      </c>
      <c r="F192" s="17" t="s">
        <v>9</v>
      </c>
      <c r="G192" s="17" t="s">
        <v>9</v>
      </c>
    </row>
    <row r="193" spans="1:7" x14ac:dyDescent="0.45">
      <c r="A193" s="6" t="s">
        <v>258</v>
      </c>
      <c r="B193" s="6" t="s">
        <v>92</v>
      </c>
      <c r="C193" s="6" t="s">
        <v>66</v>
      </c>
      <c r="D193" s="6" t="str">
        <f t="shared" si="2"/>
        <v>PTCMS Certification Number (CCN)</v>
      </c>
      <c r="E193" s="17" t="s">
        <v>12</v>
      </c>
      <c r="F193" s="17" t="s">
        <v>9</v>
      </c>
      <c r="G193" s="17" t="s">
        <v>9</v>
      </c>
    </row>
    <row r="194" spans="1:7" x14ac:dyDescent="0.45">
      <c r="A194" s="6" t="s">
        <v>258</v>
      </c>
      <c r="B194" s="6" t="s">
        <v>92</v>
      </c>
      <c r="C194" s="6" t="s">
        <v>67</v>
      </c>
      <c r="D194" s="6" t="str">
        <f t="shared" si="2"/>
        <v>PTHospitals/Facilities</v>
      </c>
      <c r="E194" s="17" t="s">
        <v>12</v>
      </c>
      <c r="F194" s="17" t="s">
        <v>9</v>
      </c>
      <c r="G194" s="17" t="s">
        <v>9</v>
      </c>
    </row>
    <row r="195" spans="1:7" x14ac:dyDescent="0.45">
      <c r="A195" s="6" t="s">
        <v>258</v>
      </c>
      <c r="B195" s="6" t="s">
        <v>92</v>
      </c>
      <c r="C195" s="6" t="s">
        <v>68</v>
      </c>
      <c r="D195" s="6" t="str">
        <f t="shared" si="2"/>
        <v>PTPart C/D Health Plans</v>
      </c>
      <c r="E195" s="17" t="s">
        <v>45</v>
      </c>
      <c r="F195" s="17" t="s">
        <v>9</v>
      </c>
      <c r="G195" s="17" t="s">
        <v>9</v>
      </c>
    </row>
    <row r="196" spans="1:7" x14ac:dyDescent="0.45">
      <c r="A196" s="6" t="s">
        <v>22</v>
      </c>
      <c r="B196" s="6" t="s">
        <v>93</v>
      </c>
      <c r="C196" s="6" t="s">
        <v>58</v>
      </c>
      <c r="D196" s="6" t="str">
        <f t="shared" si="2"/>
        <v>RADCSocial Security Number</v>
      </c>
      <c r="E196" s="17" t="s">
        <v>14</v>
      </c>
      <c r="F196" s="17" t="s">
        <v>9</v>
      </c>
      <c r="G196" s="17" t="s">
        <v>9</v>
      </c>
    </row>
    <row r="197" spans="1:7" x14ac:dyDescent="0.45">
      <c r="A197" s="6" t="s">
        <v>22</v>
      </c>
      <c r="B197" s="6" t="s">
        <v>93</v>
      </c>
      <c r="C197" s="6" t="s">
        <v>59</v>
      </c>
      <c r="D197" s="6" t="str">
        <f t="shared" ref="D197:D231" si="3">CONCATENATE(B197,C197)</f>
        <v>RADCMedicare or Medicaid Beneficiary Number</v>
      </c>
      <c r="E197" s="17" t="s">
        <v>14</v>
      </c>
      <c r="F197" s="17" t="s">
        <v>9</v>
      </c>
      <c r="G197" s="17" t="s">
        <v>9</v>
      </c>
    </row>
    <row r="198" spans="1:7" x14ac:dyDescent="0.45">
      <c r="A198" s="6" t="s">
        <v>22</v>
      </c>
      <c r="B198" s="6" t="s">
        <v>93</v>
      </c>
      <c r="C198" s="6" t="s">
        <v>60</v>
      </c>
      <c r="D198" s="6" t="str">
        <f t="shared" si="3"/>
        <v>RADCSurname</v>
      </c>
      <c r="E198" s="17" t="s">
        <v>14</v>
      </c>
      <c r="F198" s="17" t="s">
        <v>9</v>
      </c>
      <c r="G198" s="17" t="s">
        <v>9</v>
      </c>
    </row>
    <row r="199" spans="1:7" x14ac:dyDescent="0.45">
      <c r="A199" s="6" t="s">
        <v>22</v>
      </c>
      <c r="B199" s="6" t="s">
        <v>93</v>
      </c>
      <c r="C199" s="6" t="s">
        <v>61</v>
      </c>
      <c r="D199" s="6" t="str">
        <f t="shared" si="3"/>
        <v>RADCBeneficiary Identification Number (BID) [Random]</v>
      </c>
      <c r="E199" s="17" t="s">
        <v>12</v>
      </c>
      <c r="F199" s="17" t="s">
        <v>9</v>
      </c>
      <c r="G199" s="17" t="s">
        <v>9</v>
      </c>
    </row>
    <row r="200" spans="1:7" x14ac:dyDescent="0.45">
      <c r="A200" s="6" t="s">
        <v>22</v>
      </c>
      <c r="B200" s="6" t="s">
        <v>93</v>
      </c>
      <c r="C200" s="6" t="s">
        <v>77</v>
      </c>
      <c r="D200" s="6" t="str">
        <f t="shared" si="3"/>
        <v>RADCDate of Birth</v>
      </c>
      <c r="E200" s="18" t="s">
        <v>13</v>
      </c>
      <c r="F200" s="17" t="s">
        <v>9</v>
      </c>
      <c r="G200" s="17" t="s">
        <v>9</v>
      </c>
    </row>
    <row r="201" spans="1:7" x14ac:dyDescent="0.45">
      <c r="A201" s="6" t="s">
        <v>22</v>
      </c>
      <c r="B201" s="6" t="s">
        <v>93</v>
      </c>
      <c r="C201" s="6" t="s">
        <v>78</v>
      </c>
      <c r="D201" s="6" t="str">
        <f t="shared" si="3"/>
        <v>RADCGender/Race</v>
      </c>
      <c r="E201" s="18" t="s">
        <v>62</v>
      </c>
      <c r="F201" s="17" t="s">
        <v>9</v>
      </c>
      <c r="G201" s="17" t="s">
        <v>9</v>
      </c>
    </row>
    <row r="202" spans="1:7" x14ac:dyDescent="0.45">
      <c r="A202" s="6" t="s">
        <v>22</v>
      </c>
      <c r="B202" s="6" t="s">
        <v>93</v>
      </c>
      <c r="C202" s="6" t="s">
        <v>63</v>
      </c>
      <c r="D202" s="6" t="str">
        <f t="shared" si="3"/>
        <v>RADCExact Dates of Service</v>
      </c>
      <c r="E202" s="18" t="s">
        <v>62</v>
      </c>
      <c r="F202" s="17" t="s">
        <v>9</v>
      </c>
      <c r="G202" s="17" t="s">
        <v>9</v>
      </c>
    </row>
    <row r="203" spans="1:7" x14ac:dyDescent="0.45">
      <c r="A203" s="6" t="s">
        <v>22</v>
      </c>
      <c r="B203" s="6" t="s">
        <v>93</v>
      </c>
      <c r="C203" s="6" t="s">
        <v>64</v>
      </c>
      <c r="D203" s="6" t="str">
        <f t="shared" si="3"/>
        <v>RADCBeneficiary State Code/County Code/Zip Code</v>
      </c>
      <c r="E203" s="18" t="s">
        <v>13</v>
      </c>
      <c r="F203" s="17" t="s">
        <v>9</v>
      </c>
      <c r="G203" s="17" t="s">
        <v>9</v>
      </c>
    </row>
    <row r="204" spans="1:7" x14ac:dyDescent="0.45">
      <c r="A204" s="6" t="s">
        <v>22</v>
      </c>
      <c r="B204" s="6" t="s">
        <v>93</v>
      </c>
      <c r="C204" s="6" t="s">
        <v>65</v>
      </c>
      <c r="D204" s="6" t="str">
        <f t="shared" si="3"/>
        <v>RADCProvider Characteristics (e.g., National Provider Identifiers (NPIs), Unique Provider Identification Numbers (UPINs))</v>
      </c>
      <c r="E204" s="17" t="s">
        <v>12</v>
      </c>
      <c r="F204" s="17" t="s">
        <v>9</v>
      </c>
      <c r="G204" s="17" t="s">
        <v>9</v>
      </c>
    </row>
    <row r="205" spans="1:7" x14ac:dyDescent="0.45">
      <c r="A205" s="6" t="s">
        <v>22</v>
      </c>
      <c r="B205" s="6" t="s">
        <v>93</v>
      </c>
      <c r="C205" s="6" t="s">
        <v>66</v>
      </c>
      <c r="D205" s="6" t="str">
        <f t="shared" si="3"/>
        <v>RADCCMS Certification Number (CCN)</v>
      </c>
      <c r="E205" s="17" t="s">
        <v>12</v>
      </c>
      <c r="F205" s="17" t="s">
        <v>9</v>
      </c>
      <c r="G205" s="17" t="s">
        <v>9</v>
      </c>
    </row>
    <row r="206" spans="1:7" x14ac:dyDescent="0.45">
      <c r="A206" s="6" t="s">
        <v>22</v>
      </c>
      <c r="B206" s="6" t="s">
        <v>93</v>
      </c>
      <c r="C206" s="6" t="s">
        <v>67</v>
      </c>
      <c r="D206" s="6" t="str">
        <f t="shared" si="3"/>
        <v>RADCHospitals/Facilities</v>
      </c>
      <c r="E206" s="17" t="s">
        <v>12</v>
      </c>
      <c r="F206" s="17" t="s">
        <v>9</v>
      </c>
      <c r="G206" s="17" t="s">
        <v>9</v>
      </c>
    </row>
    <row r="207" spans="1:7" x14ac:dyDescent="0.45">
      <c r="A207" s="6" t="s">
        <v>22</v>
      </c>
      <c r="B207" s="6" t="s">
        <v>93</v>
      </c>
      <c r="C207" s="6" t="s">
        <v>68</v>
      </c>
      <c r="D207" s="6" t="str">
        <f t="shared" si="3"/>
        <v>RADCPart C/D Health Plans</v>
      </c>
      <c r="E207" s="17" t="s">
        <v>45</v>
      </c>
      <c r="F207" s="17" t="s">
        <v>9</v>
      </c>
      <c r="G207" s="17" t="s">
        <v>9</v>
      </c>
    </row>
    <row r="208" spans="1:7" x14ac:dyDescent="0.45">
      <c r="A208" s="6" t="s">
        <v>403</v>
      </c>
      <c r="B208" s="6" t="s">
        <v>94</v>
      </c>
      <c r="C208" s="6" t="s">
        <v>58</v>
      </c>
      <c r="D208" s="6" t="str">
        <f t="shared" si="3"/>
        <v>UASSocial Security Number</v>
      </c>
      <c r="E208" s="17" t="s">
        <v>14</v>
      </c>
      <c r="F208" s="17" t="s">
        <v>14</v>
      </c>
      <c r="G208" s="17" t="s">
        <v>14</v>
      </c>
    </row>
    <row r="209" spans="1:7" x14ac:dyDescent="0.45">
      <c r="A209" s="6" t="s">
        <v>403</v>
      </c>
      <c r="B209" s="6" t="s">
        <v>94</v>
      </c>
      <c r="C209" s="6" t="s">
        <v>59</v>
      </c>
      <c r="D209" s="6" t="str">
        <f t="shared" si="3"/>
        <v>UASMedicare or Medicaid Beneficiary Number</v>
      </c>
      <c r="E209" s="17" t="s">
        <v>14</v>
      </c>
      <c r="F209" s="17" t="s">
        <v>14</v>
      </c>
      <c r="G209" s="17" t="s">
        <v>14</v>
      </c>
    </row>
    <row r="210" spans="1:7" x14ac:dyDescent="0.45">
      <c r="A210" s="6" t="s">
        <v>403</v>
      </c>
      <c r="B210" s="6" t="s">
        <v>94</v>
      </c>
      <c r="C210" s="6" t="s">
        <v>60</v>
      </c>
      <c r="D210" s="6" t="str">
        <f t="shared" si="3"/>
        <v>UASSurname</v>
      </c>
      <c r="E210" s="17" t="s">
        <v>14</v>
      </c>
      <c r="F210" s="17" t="s">
        <v>14</v>
      </c>
      <c r="G210" s="17" t="s">
        <v>14</v>
      </c>
    </row>
    <row r="211" spans="1:7" x14ac:dyDescent="0.45">
      <c r="A211" s="6" t="s">
        <v>403</v>
      </c>
      <c r="B211" s="6" t="s">
        <v>94</v>
      </c>
      <c r="C211" s="6" t="s">
        <v>61</v>
      </c>
      <c r="D211" s="6" t="str">
        <f t="shared" si="3"/>
        <v>UASBeneficiary Identification Number (BID) [Random]</v>
      </c>
      <c r="E211" s="17" t="s">
        <v>12</v>
      </c>
      <c r="F211" s="17" t="s">
        <v>12</v>
      </c>
      <c r="G211" s="17" t="s">
        <v>12</v>
      </c>
    </row>
    <row r="212" spans="1:7" x14ac:dyDescent="0.45">
      <c r="A212" s="6" t="s">
        <v>403</v>
      </c>
      <c r="B212" s="6" t="s">
        <v>94</v>
      </c>
      <c r="C212" s="6" t="s">
        <v>77</v>
      </c>
      <c r="D212" s="6" t="str">
        <f t="shared" si="3"/>
        <v>UASDate of Birth</v>
      </c>
      <c r="E212" s="18" t="s">
        <v>62</v>
      </c>
      <c r="F212" s="18" t="s">
        <v>62</v>
      </c>
      <c r="G212" s="18" t="s">
        <v>62</v>
      </c>
    </row>
    <row r="213" spans="1:7" x14ac:dyDescent="0.45">
      <c r="A213" s="6" t="s">
        <v>403</v>
      </c>
      <c r="B213" s="6" t="s">
        <v>94</v>
      </c>
      <c r="C213" s="6" t="s">
        <v>78</v>
      </c>
      <c r="D213" s="6" t="str">
        <f t="shared" si="3"/>
        <v>UASGender/Race</v>
      </c>
      <c r="E213" s="18" t="s">
        <v>62</v>
      </c>
      <c r="F213" s="18" t="s">
        <v>62</v>
      </c>
      <c r="G213" s="18" t="s">
        <v>62</v>
      </c>
    </row>
    <row r="214" spans="1:7" x14ac:dyDescent="0.45">
      <c r="A214" s="6" t="s">
        <v>403</v>
      </c>
      <c r="B214" s="6" t="s">
        <v>94</v>
      </c>
      <c r="C214" s="6" t="s">
        <v>63</v>
      </c>
      <c r="D214" s="6" t="str">
        <f t="shared" si="3"/>
        <v>UASExact Dates of Service</v>
      </c>
      <c r="E214" s="18" t="s">
        <v>62</v>
      </c>
      <c r="F214" s="18" t="s">
        <v>62</v>
      </c>
      <c r="G214" s="18" t="s">
        <v>62</v>
      </c>
    </row>
    <row r="215" spans="1:7" x14ac:dyDescent="0.45">
      <c r="A215" s="6" t="s">
        <v>403</v>
      </c>
      <c r="B215" s="6" t="s">
        <v>94</v>
      </c>
      <c r="C215" s="6" t="s">
        <v>64</v>
      </c>
      <c r="D215" s="6" t="str">
        <f t="shared" si="3"/>
        <v>UASBeneficiary State Code/County Code/Zip Code</v>
      </c>
      <c r="E215" s="18" t="s">
        <v>13</v>
      </c>
      <c r="F215" s="18" t="s">
        <v>62</v>
      </c>
      <c r="G215" s="18" t="s">
        <v>62</v>
      </c>
    </row>
    <row r="216" spans="1:7" x14ac:dyDescent="0.45">
      <c r="A216" s="6" t="s">
        <v>403</v>
      </c>
      <c r="B216" s="6" t="s">
        <v>94</v>
      </c>
      <c r="C216" s="6" t="s">
        <v>65</v>
      </c>
      <c r="D216" s="6" t="str">
        <f t="shared" si="3"/>
        <v>UASProvider Characteristics (e.g., National Provider Identifiers (NPIs), Unique Provider Identification Numbers (UPINs))</v>
      </c>
      <c r="E216" s="17" t="s">
        <v>12</v>
      </c>
      <c r="F216" s="17" t="s">
        <v>12</v>
      </c>
      <c r="G216" s="18" t="s">
        <v>62</v>
      </c>
    </row>
    <row r="217" spans="1:7" x14ac:dyDescent="0.45">
      <c r="A217" s="6" t="s">
        <v>403</v>
      </c>
      <c r="B217" s="6" t="s">
        <v>94</v>
      </c>
      <c r="C217" s="6" t="s">
        <v>66</v>
      </c>
      <c r="D217" s="6" t="str">
        <f t="shared" si="3"/>
        <v>UASCMS Certification Number (CCN)</v>
      </c>
      <c r="E217" s="17" t="s">
        <v>12</v>
      </c>
      <c r="F217" s="17" t="s">
        <v>12</v>
      </c>
      <c r="G217" s="18" t="s">
        <v>62</v>
      </c>
    </row>
    <row r="218" spans="1:7" x14ac:dyDescent="0.45">
      <c r="A218" s="6" t="s">
        <v>403</v>
      </c>
      <c r="B218" s="6" t="s">
        <v>94</v>
      </c>
      <c r="C218" s="6" t="s">
        <v>67</v>
      </c>
      <c r="D218" s="6" t="str">
        <f t="shared" si="3"/>
        <v>UASHospitals/Facilities</v>
      </c>
      <c r="E218" s="17" t="s">
        <v>12</v>
      </c>
      <c r="F218" s="17" t="s">
        <v>12</v>
      </c>
      <c r="G218" s="18" t="s">
        <v>62</v>
      </c>
    </row>
    <row r="219" spans="1:7" x14ac:dyDescent="0.45">
      <c r="A219" s="6" t="s">
        <v>403</v>
      </c>
      <c r="B219" s="6" t="s">
        <v>94</v>
      </c>
      <c r="C219" s="6" t="s">
        <v>68</v>
      </c>
      <c r="D219" s="6" t="str">
        <f t="shared" si="3"/>
        <v>UASPart C/D Health Plans</v>
      </c>
      <c r="E219" s="17" t="s">
        <v>45</v>
      </c>
      <c r="F219" s="17" t="s">
        <v>45</v>
      </c>
      <c r="G219" s="18" t="s">
        <v>62</v>
      </c>
    </row>
    <row r="220" spans="1:7" x14ac:dyDescent="0.45">
      <c r="A220" s="6" t="s">
        <v>53</v>
      </c>
      <c r="B220" s="6" t="s">
        <v>95</v>
      </c>
      <c r="C220" s="6" t="s">
        <v>58</v>
      </c>
      <c r="D220" s="6" t="str">
        <f t="shared" si="3"/>
        <v>UFOVTSocial Security Number</v>
      </c>
      <c r="E220" s="17" t="s">
        <v>14</v>
      </c>
      <c r="F220" s="17" t="s">
        <v>9</v>
      </c>
      <c r="G220" s="17" t="s">
        <v>9</v>
      </c>
    </row>
    <row r="221" spans="1:7" x14ac:dyDescent="0.45">
      <c r="A221" s="6" t="s">
        <v>53</v>
      </c>
      <c r="B221" s="6" t="s">
        <v>95</v>
      </c>
      <c r="C221" s="6" t="s">
        <v>59</v>
      </c>
      <c r="D221" s="6" t="str">
        <f t="shared" si="3"/>
        <v>UFOVTMedicare or Medicaid Beneficiary Number</v>
      </c>
      <c r="E221" s="17" t="s">
        <v>14</v>
      </c>
      <c r="F221" s="17" t="s">
        <v>9</v>
      </c>
      <c r="G221" s="17" t="s">
        <v>9</v>
      </c>
    </row>
    <row r="222" spans="1:7" x14ac:dyDescent="0.45">
      <c r="A222" s="6" t="s">
        <v>53</v>
      </c>
      <c r="B222" s="6" t="s">
        <v>95</v>
      </c>
      <c r="C222" s="6" t="s">
        <v>60</v>
      </c>
      <c r="D222" s="6" t="str">
        <f t="shared" si="3"/>
        <v>UFOVTSurname</v>
      </c>
      <c r="E222" s="17" t="s">
        <v>14</v>
      </c>
      <c r="F222" s="17" t="s">
        <v>9</v>
      </c>
      <c r="G222" s="17" t="s">
        <v>9</v>
      </c>
    </row>
    <row r="223" spans="1:7" x14ac:dyDescent="0.45">
      <c r="A223" s="6" t="s">
        <v>53</v>
      </c>
      <c r="B223" s="6" t="s">
        <v>95</v>
      </c>
      <c r="C223" s="6" t="s">
        <v>61</v>
      </c>
      <c r="D223" s="6" t="str">
        <f t="shared" si="3"/>
        <v>UFOVTBeneficiary Identification Number (BID) [Random]</v>
      </c>
      <c r="E223" s="17" t="s">
        <v>12</v>
      </c>
      <c r="F223" s="17" t="s">
        <v>9</v>
      </c>
      <c r="G223" s="17" t="s">
        <v>9</v>
      </c>
    </row>
    <row r="224" spans="1:7" x14ac:dyDescent="0.45">
      <c r="A224" s="6" t="s">
        <v>53</v>
      </c>
      <c r="B224" s="6" t="s">
        <v>95</v>
      </c>
      <c r="C224" s="6" t="s">
        <v>77</v>
      </c>
      <c r="D224" s="6" t="str">
        <f t="shared" si="3"/>
        <v>UFOVTDate of Birth</v>
      </c>
      <c r="E224" s="18" t="s">
        <v>13</v>
      </c>
      <c r="F224" s="17" t="s">
        <v>9</v>
      </c>
      <c r="G224" s="17" t="s">
        <v>9</v>
      </c>
    </row>
    <row r="225" spans="1:7" x14ac:dyDescent="0.45">
      <c r="A225" s="6" t="s">
        <v>53</v>
      </c>
      <c r="B225" s="6" t="s">
        <v>95</v>
      </c>
      <c r="C225" s="6" t="s">
        <v>78</v>
      </c>
      <c r="D225" s="6" t="str">
        <f t="shared" si="3"/>
        <v>UFOVTGender/Race</v>
      </c>
      <c r="E225" s="18" t="s">
        <v>62</v>
      </c>
      <c r="F225" s="17" t="s">
        <v>9</v>
      </c>
      <c r="G225" s="17" t="s">
        <v>9</v>
      </c>
    </row>
    <row r="226" spans="1:7" x14ac:dyDescent="0.45">
      <c r="A226" s="6" t="s">
        <v>53</v>
      </c>
      <c r="B226" s="6" t="s">
        <v>95</v>
      </c>
      <c r="C226" s="6" t="s">
        <v>63</v>
      </c>
      <c r="D226" s="6" t="str">
        <f t="shared" si="3"/>
        <v>UFOVTExact Dates of Service</v>
      </c>
      <c r="E226" s="18" t="s">
        <v>62</v>
      </c>
      <c r="F226" s="17" t="s">
        <v>9</v>
      </c>
      <c r="G226" s="17" t="s">
        <v>9</v>
      </c>
    </row>
    <row r="227" spans="1:7" x14ac:dyDescent="0.45">
      <c r="A227" s="6" t="s">
        <v>53</v>
      </c>
      <c r="B227" s="6" t="s">
        <v>95</v>
      </c>
      <c r="C227" s="6" t="s">
        <v>64</v>
      </c>
      <c r="D227" s="6" t="str">
        <f t="shared" si="3"/>
        <v>UFOVTBeneficiary State Code/County Code/Zip Code</v>
      </c>
      <c r="E227" s="18" t="s">
        <v>13</v>
      </c>
      <c r="F227" s="17" t="s">
        <v>9</v>
      </c>
      <c r="G227" s="17" t="s">
        <v>9</v>
      </c>
    </row>
    <row r="228" spans="1:7" x14ac:dyDescent="0.45">
      <c r="A228" s="6" t="s">
        <v>53</v>
      </c>
      <c r="B228" s="6" t="s">
        <v>95</v>
      </c>
      <c r="C228" s="6" t="s">
        <v>65</v>
      </c>
      <c r="D228" s="6" t="str">
        <f t="shared" si="3"/>
        <v>UFOVTProvider Characteristics (e.g., National Provider Identifiers (NPIs), Unique Provider Identification Numbers (UPINs))</v>
      </c>
      <c r="E228" s="17" t="s">
        <v>12</v>
      </c>
      <c r="F228" s="17" t="s">
        <v>9</v>
      </c>
      <c r="G228" s="17" t="s">
        <v>9</v>
      </c>
    </row>
    <row r="229" spans="1:7" x14ac:dyDescent="0.45">
      <c r="A229" s="6" t="s">
        <v>53</v>
      </c>
      <c r="B229" s="6" t="s">
        <v>95</v>
      </c>
      <c r="C229" s="6" t="s">
        <v>66</v>
      </c>
      <c r="D229" s="6" t="str">
        <f t="shared" si="3"/>
        <v>UFOVTCMS Certification Number (CCN)</v>
      </c>
      <c r="E229" s="17" t="s">
        <v>12</v>
      </c>
      <c r="F229" s="17" t="s">
        <v>9</v>
      </c>
      <c r="G229" s="17" t="s">
        <v>9</v>
      </c>
    </row>
    <row r="230" spans="1:7" x14ac:dyDescent="0.45">
      <c r="A230" s="6" t="s">
        <v>53</v>
      </c>
      <c r="B230" s="6" t="s">
        <v>95</v>
      </c>
      <c r="C230" s="6" t="s">
        <v>67</v>
      </c>
      <c r="D230" s="6" t="str">
        <f t="shared" si="3"/>
        <v>UFOVTHospitals/Facilities</v>
      </c>
      <c r="E230" s="17" t="s">
        <v>12</v>
      </c>
      <c r="F230" s="17" t="s">
        <v>9</v>
      </c>
      <c r="G230" s="17" t="s">
        <v>9</v>
      </c>
    </row>
    <row r="231" spans="1:7" x14ac:dyDescent="0.45">
      <c r="A231" s="6" t="s">
        <v>53</v>
      </c>
      <c r="B231" s="6" t="s">
        <v>95</v>
      </c>
      <c r="C231" s="6" t="s">
        <v>68</v>
      </c>
      <c r="D231" s="6" t="str">
        <f t="shared" si="3"/>
        <v>UFOVTPart C/D Health Plans</v>
      </c>
      <c r="E231" s="17" t="s">
        <v>45</v>
      </c>
      <c r="F231" s="17" t="s">
        <v>9</v>
      </c>
      <c r="G231" s="17" t="s">
        <v>9</v>
      </c>
    </row>
    <row r="232" spans="1:7" x14ac:dyDescent="0.45">
      <c r="A232" s="6" t="s">
        <v>492</v>
      </c>
      <c r="B232" s="6" t="s">
        <v>493</v>
      </c>
      <c r="C232" s="6" t="s">
        <v>58</v>
      </c>
      <c r="D232" s="6" t="str">
        <f t="shared" ref="D232:D243" si="4">CONCATENATE(B232,C232)</f>
        <v>OtherSocial Security Number</v>
      </c>
      <c r="E232" s="17" t="s">
        <v>14</v>
      </c>
      <c r="F232" s="17" t="s">
        <v>14</v>
      </c>
      <c r="G232" s="17" t="s">
        <v>14</v>
      </c>
    </row>
    <row r="233" spans="1:7" x14ac:dyDescent="0.45">
      <c r="A233" s="6" t="s">
        <v>492</v>
      </c>
      <c r="B233" s="6" t="s">
        <v>493</v>
      </c>
      <c r="C233" s="6" t="s">
        <v>59</v>
      </c>
      <c r="D233" s="6" t="str">
        <f t="shared" si="4"/>
        <v>OtherMedicare or Medicaid Beneficiary Number</v>
      </c>
      <c r="E233" s="17" t="s">
        <v>14</v>
      </c>
      <c r="F233" s="17" t="s">
        <v>14</v>
      </c>
      <c r="G233" s="17" t="s">
        <v>14</v>
      </c>
    </row>
    <row r="234" spans="1:7" x14ac:dyDescent="0.45">
      <c r="A234" s="6" t="s">
        <v>492</v>
      </c>
      <c r="B234" s="6" t="s">
        <v>493</v>
      </c>
      <c r="C234" s="6" t="s">
        <v>60</v>
      </c>
      <c r="D234" s="6" t="str">
        <f t="shared" si="4"/>
        <v>OtherSurname</v>
      </c>
      <c r="E234" s="17" t="s">
        <v>14</v>
      </c>
      <c r="F234" s="17" t="s">
        <v>14</v>
      </c>
      <c r="G234" s="17" t="s">
        <v>14</v>
      </c>
    </row>
    <row r="235" spans="1:7" x14ac:dyDescent="0.45">
      <c r="A235" s="6" t="s">
        <v>492</v>
      </c>
      <c r="B235" s="6" t="s">
        <v>493</v>
      </c>
      <c r="C235" s="6" t="s">
        <v>61</v>
      </c>
      <c r="D235" s="6" t="str">
        <f t="shared" si="4"/>
        <v>OtherBeneficiary Identification Number (BID) [Random]</v>
      </c>
      <c r="E235" s="17" t="s">
        <v>12</v>
      </c>
      <c r="F235" s="17" t="s">
        <v>12</v>
      </c>
      <c r="G235" s="17" t="s">
        <v>12</v>
      </c>
    </row>
    <row r="236" spans="1:7" x14ac:dyDescent="0.45">
      <c r="A236" s="6" t="s">
        <v>492</v>
      </c>
      <c r="B236" s="6" t="s">
        <v>493</v>
      </c>
      <c r="C236" s="6" t="s">
        <v>77</v>
      </c>
      <c r="D236" s="6" t="str">
        <f t="shared" si="4"/>
        <v>OtherDate of Birth</v>
      </c>
      <c r="E236" s="17" t="s">
        <v>498</v>
      </c>
      <c r="F236" s="17" t="s">
        <v>498</v>
      </c>
      <c r="G236" s="17" t="s">
        <v>498</v>
      </c>
    </row>
    <row r="237" spans="1:7" x14ac:dyDescent="0.45">
      <c r="A237" s="6" t="s">
        <v>492</v>
      </c>
      <c r="B237" s="6" t="s">
        <v>493</v>
      </c>
      <c r="C237" s="6" t="s">
        <v>78</v>
      </c>
      <c r="D237" s="6" t="str">
        <f t="shared" si="4"/>
        <v>OtherGender/Race</v>
      </c>
      <c r="E237" s="17" t="s">
        <v>498</v>
      </c>
      <c r="F237" s="17" t="s">
        <v>498</v>
      </c>
      <c r="G237" s="17" t="s">
        <v>498</v>
      </c>
    </row>
    <row r="238" spans="1:7" x14ac:dyDescent="0.45">
      <c r="A238" s="6" t="s">
        <v>492</v>
      </c>
      <c r="B238" s="6" t="s">
        <v>493</v>
      </c>
      <c r="C238" s="6" t="s">
        <v>63</v>
      </c>
      <c r="D238" s="6" t="str">
        <f t="shared" si="4"/>
        <v>OtherExact Dates of Service</v>
      </c>
      <c r="E238" s="17" t="s">
        <v>498</v>
      </c>
      <c r="F238" s="17" t="s">
        <v>498</v>
      </c>
      <c r="G238" s="17" t="s">
        <v>498</v>
      </c>
    </row>
    <row r="239" spans="1:7" x14ac:dyDescent="0.45">
      <c r="A239" s="6" t="s">
        <v>492</v>
      </c>
      <c r="B239" s="6" t="s">
        <v>493</v>
      </c>
      <c r="C239" s="6" t="s">
        <v>64</v>
      </c>
      <c r="D239" s="6" t="str">
        <f t="shared" si="4"/>
        <v>OtherBeneficiary State Code/County Code/Zip Code</v>
      </c>
      <c r="E239" s="17" t="s">
        <v>498</v>
      </c>
      <c r="F239" s="17" t="s">
        <v>498</v>
      </c>
      <c r="G239" s="17" t="s">
        <v>498</v>
      </c>
    </row>
    <row r="240" spans="1:7" x14ac:dyDescent="0.45">
      <c r="A240" s="6" t="s">
        <v>492</v>
      </c>
      <c r="B240" s="6" t="s">
        <v>493</v>
      </c>
      <c r="C240" s="6" t="s">
        <v>65</v>
      </c>
      <c r="D240" s="6" t="str">
        <f t="shared" si="4"/>
        <v>OtherProvider Characteristics (e.g., National Provider Identifiers (NPIs), Unique Provider Identification Numbers (UPINs))</v>
      </c>
      <c r="E240" s="17" t="s">
        <v>498</v>
      </c>
      <c r="F240" s="17" t="s">
        <v>498</v>
      </c>
      <c r="G240" s="17" t="s">
        <v>498</v>
      </c>
    </row>
    <row r="241" spans="1:7" x14ac:dyDescent="0.45">
      <c r="A241" s="6" t="s">
        <v>492</v>
      </c>
      <c r="B241" s="6" t="s">
        <v>493</v>
      </c>
      <c r="C241" s="6" t="s">
        <v>66</v>
      </c>
      <c r="D241" s="6" t="str">
        <f t="shared" si="4"/>
        <v>OtherCMS Certification Number (CCN)</v>
      </c>
      <c r="E241" s="17" t="s">
        <v>498</v>
      </c>
      <c r="F241" s="17" t="s">
        <v>498</v>
      </c>
      <c r="G241" s="17" t="s">
        <v>498</v>
      </c>
    </row>
    <row r="242" spans="1:7" x14ac:dyDescent="0.45">
      <c r="A242" s="6" t="s">
        <v>492</v>
      </c>
      <c r="B242" s="6" t="s">
        <v>493</v>
      </c>
      <c r="C242" s="6" t="s">
        <v>67</v>
      </c>
      <c r="D242" s="6" t="str">
        <f t="shared" si="4"/>
        <v>OtherHospitals/Facilities</v>
      </c>
      <c r="E242" s="17" t="s">
        <v>498</v>
      </c>
      <c r="F242" s="17" t="s">
        <v>498</v>
      </c>
      <c r="G242" s="17" t="s">
        <v>498</v>
      </c>
    </row>
    <row r="243" spans="1:7" x14ac:dyDescent="0.45">
      <c r="A243" s="6" t="s">
        <v>492</v>
      </c>
      <c r="B243" s="6" t="s">
        <v>493</v>
      </c>
      <c r="C243" s="6" t="s">
        <v>68</v>
      </c>
      <c r="D243" s="6" t="str">
        <f t="shared" si="4"/>
        <v>OtherPart C/D Health Plans</v>
      </c>
      <c r="E243" s="17" t="s">
        <v>498</v>
      </c>
      <c r="F243" s="17" t="s">
        <v>498</v>
      </c>
      <c r="G243" s="17" t="s">
        <v>498</v>
      </c>
    </row>
  </sheetData>
  <sheetProtection algorithmName="SHA-512" hashValue="DEh1qJWi8r1cpb5K3YuspCRuv1EZJyLe9zfmyMwR+sYfSlbhyBJOboryfidJ9YodOvJ3rVb4oPp3u6XVHxwnKQ==" saltValue="1LHpxR1+JvJIgLSqSDarPQ==" spinCount="100000" sheet="1" objects="1" scenarios="1" selectLockedCells="1" selectUnlockedCells="1"/>
  <autoFilter ref="A3:G243" xr:uid="{00000000-0009-0000-0000-000015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tabColor rgb="FFCDDEE5"/>
  </sheetPr>
  <dimension ref="A1:E27"/>
  <sheetViews>
    <sheetView showGridLines="0" zoomScaleNormal="100" workbookViewId="0">
      <selection activeCell="A2" sqref="A2"/>
    </sheetView>
  </sheetViews>
  <sheetFormatPr defaultColWidth="8.69140625" defaultRowHeight="17.5" x14ac:dyDescent="0.45"/>
  <cols>
    <col min="1" max="1" width="7.765625" style="47" customWidth="1"/>
    <col min="2" max="2" width="15.69140625" style="47" customWidth="1"/>
    <col min="3" max="3" width="30.4609375" style="47" customWidth="1"/>
    <col min="4" max="4" width="85.69140625" style="47" customWidth="1"/>
    <col min="5" max="5" width="8.69140625" style="47" customWidth="1"/>
    <col min="6" max="16384" width="8.69140625" style="19"/>
  </cols>
  <sheetData>
    <row r="1" spans="1:5" ht="28.5" customHeight="1" x14ac:dyDescent="0.45">
      <c r="A1" s="234" t="s">
        <v>385</v>
      </c>
      <c r="B1" s="34"/>
      <c r="C1" s="34"/>
      <c r="D1" s="34"/>
      <c r="E1" s="34"/>
    </row>
    <row r="2" spans="1:5" ht="26.5" x14ac:dyDescent="0.7">
      <c r="A2" s="367" t="s">
        <v>377</v>
      </c>
      <c r="B2" s="35"/>
      <c r="C2" s="35"/>
      <c r="D2" s="35"/>
      <c r="E2" s="35"/>
    </row>
    <row r="3" spans="1:5" ht="16" customHeight="1" x14ac:dyDescent="0.75">
      <c r="A3" s="36"/>
      <c r="B3" s="36"/>
      <c r="C3" s="36"/>
      <c r="D3" s="36"/>
      <c r="E3" s="36"/>
    </row>
    <row r="4" spans="1:5" ht="45" customHeight="1" x14ac:dyDescent="0.45">
      <c r="A4" s="284" t="s">
        <v>514</v>
      </c>
      <c r="B4" s="284"/>
      <c r="C4" s="284"/>
      <c r="D4" s="284"/>
      <c r="E4" s="285"/>
    </row>
    <row r="5" spans="1:5" ht="15" customHeight="1" x14ac:dyDescent="0.45">
      <c r="A5" s="240"/>
      <c r="B5" s="240"/>
      <c r="C5" s="240"/>
      <c r="D5" s="240"/>
      <c r="E5" s="44"/>
    </row>
    <row r="6" spans="1:5" ht="30" customHeight="1" x14ac:dyDescent="0.45">
      <c r="A6" s="38"/>
      <c r="B6" s="197" t="s">
        <v>378</v>
      </c>
      <c r="C6" s="198" t="s">
        <v>379</v>
      </c>
      <c r="D6" s="199" t="s">
        <v>380</v>
      </c>
      <c r="E6" s="37"/>
    </row>
    <row r="7" spans="1:5" ht="30" customHeight="1" x14ac:dyDescent="0.45">
      <c r="A7" s="39"/>
      <c r="B7" s="286">
        <v>44321</v>
      </c>
      <c r="C7" s="287" t="s">
        <v>571</v>
      </c>
      <c r="D7" s="288" t="s">
        <v>572</v>
      </c>
      <c r="E7" s="37"/>
    </row>
    <row r="8" spans="1:5" ht="30" customHeight="1" x14ac:dyDescent="0.45">
      <c r="A8" s="39"/>
      <c r="B8" s="193">
        <v>44768</v>
      </c>
      <c r="C8" s="194" t="s">
        <v>381</v>
      </c>
      <c r="D8" s="195" t="s">
        <v>584</v>
      </c>
      <c r="E8" s="37"/>
    </row>
    <row r="9" spans="1:5" ht="35" x14ac:dyDescent="0.45">
      <c r="A9" s="39"/>
      <c r="B9" s="286">
        <v>44768</v>
      </c>
      <c r="C9" s="287" t="s">
        <v>382</v>
      </c>
      <c r="D9" s="288" t="s">
        <v>573</v>
      </c>
      <c r="E9" s="37"/>
    </row>
    <row r="10" spans="1:5" ht="30" customHeight="1" x14ac:dyDescent="0.45">
      <c r="A10" s="39"/>
      <c r="B10" s="193">
        <v>44768</v>
      </c>
      <c r="C10" s="194" t="s">
        <v>574</v>
      </c>
      <c r="D10" s="195" t="s">
        <v>575</v>
      </c>
      <c r="E10" s="37"/>
    </row>
    <row r="11" spans="1:5" ht="35.15" customHeight="1" x14ac:dyDescent="0.45">
      <c r="A11" s="40"/>
      <c r="B11" s="286">
        <v>44768</v>
      </c>
      <c r="C11" s="287" t="s">
        <v>393</v>
      </c>
      <c r="D11" s="288" t="s">
        <v>576</v>
      </c>
      <c r="E11" s="37"/>
    </row>
    <row r="12" spans="1:5" ht="35.15" customHeight="1" x14ac:dyDescent="0.45">
      <c r="A12" s="40"/>
      <c r="B12" s="193">
        <v>44768</v>
      </c>
      <c r="C12" s="194" t="s">
        <v>240</v>
      </c>
      <c r="D12" s="195" t="s">
        <v>577</v>
      </c>
      <c r="E12" s="37"/>
    </row>
    <row r="13" spans="1:5" ht="45" customHeight="1" x14ac:dyDescent="0.45">
      <c r="A13" s="40"/>
      <c r="B13" s="286">
        <v>44768</v>
      </c>
      <c r="C13" s="287" t="s">
        <v>578</v>
      </c>
      <c r="D13" s="288" t="s">
        <v>579</v>
      </c>
      <c r="E13" s="37"/>
    </row>
    <row r="14" spans="1:5" ht="45" customHeight="1" x14ac:dyDescent="0.45">
      <c r="A14" s="40"/>
      <c r="B14" s="193">
        <v>44768</v>
      </c>
      <c r="C14" s="194" t="s">
        <v>399</v>
      </c>
      <c r="D14" s="196" t="s">
        <v>625</v>
      </c>
      <c r="E14" s="37"/>
    </row>
    <row r="15" spans="1:5" ht="45" customHeight="1" x14ac:dyDescent="0.45">
      <c r="A15" s="40"/>
      <c r="B15" s="286">
        <v>44768</v>
      </c>
      <c r="C15" s="287" t="s">
        <v>580</v>
      </c>
      <c r="D15" s="288" t="s">
        <v>581</v>
      </c>
      <c r="E15" s="37"/>
    </row>
    <row r="16" spans="1:5" ht="30" customHeight="1" x14ac:dyDescent="0.45">
      <c r="A16" s="40"/>
      <c r="B16" s="193">
        <v>44768</v>
      </c>
      <c r="C16" s="194" t="s">
        <v>582</v>
      </c>
      <c r="D16" s="196" t="s">
        <v>583</v>
      </c>
      <c r="E16" s="37"/>
    </row>
    <row r="17" spans="1:5" ht="30" customHeight="1" x14ac:dyDescent="0.45">
      <c r="A17" s="40"/>
      <c r="B17" s="286">
        <v>45218</v>
      </c>
      <c r="C17" s="380" t="s">
        <v>399</v>
      </c>
      <c r="D17" s="381" t="s">
        <v>624</v>
      </c>
      <c r="E17" s="37"/>
    </row>
    <row r="18" spans="1:5" ht="30" customHeight="1" x14ac:dyDescent="0.45">
      <c r="A18" s="40"/>
      <c r="B18" s="193">
        <v>45218</v>
      </c>
      <c r="C18" s="194" t="s">
        <v>571</v>
      </c>
      <c r="D18" s="196" t="s">
        <v>585</v>
      </c>
      <c r="E18" s="37"/>
    </row>
    <row r="19" spans="1:5" ht="30" customHeight="1" x14ac:dyDescent="0.45">
      <c r="A19" s="40"/>
      <c r="B19" s="286"/>
      <c r="C19" s="287"/>
      <c r="D19" s="288"/>
      <c r="E19" s="37"/>
    </row>
    <row r="20" spans="1:5" ht="30" customHeight="1" x14ac:dyDescent="0.45">
      <c r="A20" s="40"/>
      <c r="B20" s="193"/>
      <c r="C20" s="194"/>
      <c r="D20" s="196"/>
      <c r="E20" s="37"/>
    </row>
    <row r="21" spans="1:5" ht="30" customHeight="1" x14ac:dyDescent="0.45">
      <c r="A21" s="40"/>
      <c r="B21" s="286"/>
      <c r="C21" s="287"/>
      <c r="D21" s="288"/>
      <c r="E21" s="37"/>
    </row>
    <row r="22" spans="1:5" ht="30" customHeight="1" x14ac:dyDescent="0.45">
      <c r="A22" s="40"/>
      <c r="B22" s="193"/>
      <c r="C22" s="194"/>
      <c r="D22" s="196"/>
      <c r="E22" s="37"/>
    </row>
    <row r="23" spans="1:5" ht="30" customHeight="1" x14ac:dyDescent="0.45">
      <c r="A23" s="40"/>
      <c r="B23" s="286"/>
      <c r="C23" s="287"/>
      <c r="D23" s="288"/>
      <c r="E23" s="37"/>
    </row>
    <row r="24" spans="1:5" ht="30" customHeight="1" x14ac:dyDescent="0.45">
      <c r="A24" s="40"/>
      <c r="B24" s="373"/>
      <c r="C24" s="374"/>
      <c r="D24" s="195"/>
      <c r="E24" s="37"/>
    </row>
    <row r="25" spans="1:5" ht="30" customHeight="1" x14ac:dyDescent="0.45">
      <c r="A25" s="40"/>
      <c r="B25" s="286"/>
      <c r="C25" s="287"/>
      <c r="D25" s="288"/>
      <c r="E25" s="37"/>
    </row>
    <row r="26" spans="1:5" ht="20.25" customHeight="1" x14ac:dyDescent="0.45">
      <c r="A26" s="41"/>
      <c r="B26" s="42"/>
      <c r="C26" s="42"/>
      <c r="D26" s="43"/>
      <c r="E26" s="44"/>
    </row>
    <row r="27" spans="1:5" s="20" customFormat="1" ht="35.25" customHeight="1" x14ac:dyDescent="0.45">
      <c r="A27" s="45"/>
      <c r="B27" s="278" t="s">
        <v>500</v>
      </c>
      <c r="C27" s="247"/>
      <c r="D27" s="247"/>
      <c r="E27" s="46"/>
    </row>
  </sheetData>
  <sheetProtection algorithmName="SHA-512" hashValue="GFphfcOz52ap3uNXnPhBIxGSEaL3MVftvY+o975vWiopgIzCmWOGL7o48L1c5YSJI7KxGuYSf6YI5vAYVddtiA==" saltValue="c5Q/5XFFoXtQmVpLnFRKnw==" spinCount="100000" sheet="1" objects="1" scenarios="1" formatCells="0" formatColumns="0" formatRows="0"/>
  <dataConsolid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DDEE5"/>
  </sheetPr>
  <dimension ref="A1:D55"/>
  <sheetViews>
    <sheetView showGridLines="0" zoomScaleNormal="100" workbookViewId="0">
      <selection activeCell="A2" sqref="A2"/>
    </sheetView>
  </sheetViews>
  <sheetFormatPr defaultColWidth="8.69140625" defaultRowHeight="17.5" x14ac:dyDescent="0.45"/>
  <cols>
    <col min="1" max="1" width="6.84375" style="47" customWidth="1"/>
    <col min="2" max="2" width="35.69140625" style="47" customWidth="1"/>
    <col min="3" max="3" width="100.69140625" style="47" customWidth="1"/>
    <col min="4" max="4" width="47.53515625" style="47" customWidth="1"/>
    <col min="5" max="16384" width="8.69140625" style="19"/>
  </cols>
  <sheetData>
    <row r="1" spans="1:4" ht="28.5" customHeight="1" x14ac:dyDescent="0.45">
      <c r="A1" s="234" t="s">
        <v>385</v>
      </c>
      <c r="B1" s="34"/>
      <c r="C1" s="34"/>
      <c r="D1" s="34"/>
    </row>
    <row r="2" spans="1:4" ht="26.5" x14ac:dyDescent="0.7">
      <c r="A2" s="368" t="s">
        <v>177</v>
      </c>
      <c r="B2" s="48"/>
      <c r="C2" s="48"/>
      <c r="D2" s="48"/>
    </row>
    <row r="3" spans="1:4" ht="16" customHeight="1" x14ac:dyDescent="0.75">
      <c r="A3" s="49"/>
      <c r="B3" s="49"/>
      <c r="C3" s="49"/>
      <c r="D3" s="49"/>
    </row>
    <row r="4" spans="1:4" ht="65.25" customHeight="1" x14ac:dyDescent="0.45">
      <c r="A4" s="383" t="s">
        <v>549</v>
      </c>
      <c r="B4" s="383"/>
      <c r="C4" s="383"/>
      <c r="D4" s="383"/>
    </row>
    <row r="5" spans="1:4" ht="40.5" customHeight="1" x14ac:dyDescent="0.45">
      <c r="A5" s="289" t="s">
        <v>48</v>
      </c>
      <c r="B5" s="290"/>
      <c r="C5" s="290"/>
      <c r="D5" s="290"/>
    </row>
    <row r="6" spans="1:4" ht="25.5" customHeight="1" x14ac:dyDescent="0.45">
      <c r="A6" s="384" t="s">
        <v>394</v>
      </c>
      <c r="B6" s="384"/>
      <c r="C6" s="384"/>
      <c r="D6" s="384"/>
    </row>
    <row r="7" spans="1:4" ht="25.5" customHeight="1" x14ac:dyDescent="0.45">
      <c r="A7" s="384" t="s">
        <v>358</v>
      </c>
      <c r="B7" s="384"/>
      <c r="C7" s="384"/>
      <c r="D7" s="384"/>
    </row>
    <row r="8" spans="1:4" ht="25.5" customHeight="1" x14ac:dyDescent="0.45">
      <c r="A8" s="384" t="s">
        <v>359</v>
      </c>
      <c r="B8" s="384"/>
      <c r="C8" s="384"/>
      <c r="D8" s="384"/>
    </row>
    <row r="9" spans="1:4" s="20" customFormat="1" ht="25.5" customHeight="1" x14ac:dyDescent="0.45">
      <c r="A9" s="384" t="s">
        <v>360</v>
      </c>
      <c r="B9" s="384"/>
      <c r="C9" s="384"/>
      <c r="D9" s="384"/>
    </row>
    <row r="10" spans="1:4" s="20" customFormat="1" ht="25.5" customHeight="1" x14ac:dyDescent="0.45">
      <c r="A10" s="384" t="s">
        <v>610</v>
      </c>
      <c r="B10" s="384"/>
      <c r="C10" s="384"/>
      <c r="D10" s="384"/>
    </row>
    <row r="11" spans="1:4" s="20" customFormat="1" ht="25.5" customHeight="1" x14ac:dyDescent="0.45">
      <c r="A11" s="384" t="s">
        <v>487</v>
      </c>
      <c r="B11" s="384"/>
      <c r="C11" s="384"/>
      <c r="D11" s="384"/>
    </row>
    <row r="12" spans="1:4" s="20" customFormat="1" ht="25.5" customHeight="1" x14ac:dyDescent="0.45">
      <c r="A12" s="384" t="s">
        <v>488</v>
      </c>
      <c r="B12" s="384"/>
      <c r="C12" s="384"/>
      <c r="D12" s="384"/>
    </row>
    <row r="13" spans="1:4" ht="45" customHeight="1" x14ac:dyDescent="0.45">
      <c r="A13" s="289" t="s">
        <v>394</v>
      </c>
      <c r="B13" s="290"/>
      <c r="C13" s="290"/>
      <c r="D13" s="290"/>
    </row>
    <row r="14" spans="1:4" ht="48" customHeight="1" x14ac:dyDescent="0.45">
      <c r="A14" s="386" t="s">
        <v>618</v>
      </c>
      <c r="B14" s="386"/>
      <c r="C14" s="386"/>
      <c r="D14" s="386"/>
    </row>
    <row r="15" spans="1:4" ht="48" customHeight="1" x14ac:dyDescent="0.45">
      <c r="A15" s="387" t="s">
        <v>619</v>
      </c>
      <c r="B15" s="387"/>
      <c r="C15" s="387"/>
      <c r="D15" s="387"/>
    </row>
    <row r="16" spans="1:4" ht="30" customHeight="1" x14ac:dyDescent="0.45">
      <c r="A16" s="388" t="s">
        <v>179</v>
      </c>
      <c r="B16" s="388"/>
      <c r="C16" s="50"/>
      <c r="D16" s="50"/>
    </row>
    <row r="17" spans="1:4" ht="45" customHeight="1" x14ac:dyDescent="0.45">
      <c r="A17" s="289" t="s">
        <v>390</v>
      </c>
      <c r="B17" s="290"/>
      <c r="C17" s="290"/>
      <c r="D17" s="290"/>
    </row>
    <row r="18" spans="1:4" ht="70.5" customHeight="1" x14ac:dyDescent="0.45">
      <c r="A18" s="385" t="s">
        <v>391</v>
      </c>
      <c r="B18" s="385"/>
      <c r="C18" s="385"/>
      <c r="D18" s="385"/>
    </row>
    <row r="19" spans="1:4" ht="164.5" customHeight="1" x14ac:dyDescent="0.45">
      <c r="A19" s="382" t="s">
        <v>586</v>
      </c>
      <c r="B19" s="382"/>
      <c r="C19" s="382"/>
      <c r="D19" s="382"/>
    </row>
    <row r="20" spans="1:4" ht="31.5" customHeight="1" x14ac:dyDescent="0.45">
      <c r="A20" s="266" t="s">
        <v>587</v>
      </c>
      <c r="B20" s="266"/>
      <c r="C20" s="266"/>
      <c r="D20" s="266"/>
    </row>
    <row r="21" spans="1:4" ht="30" customHeight="1" x14ac:dyDescent="0.45">
      <c r="A21" s="258" t="s">
        <v>353</v>
      </c>
      <c r="B21" s="258"/>
      <c r="C21" s="258"/>
      <c r="D21" s="258"/>
    </row>
    <row r="22" spans="1:4" ht="30" customHeight="1" x14ac:dyDescent="0.45">
      <c r="A22" s="236">
        <v>1</v>
      </c>
      <c r="B22" s="237" t="s">
        <v>540</v>
      </c>
      <c r="C22" s="237"/>
      <c r="D22" s="237"/>
    </row>
    <row r="23" spans="1:4" ht="30" customHeight="1" x14ac:dyDescent="0.45">
      <c r="A23" s="236">
        <v>2</v>
      </c>
      <c r="B23" s="237" t="s">
        <v>541</v>
      </c>
      <c r="C23" s="237"/>
      <c r="D23" s="237"/>
    </row>
    <row r="24" spans="1:4" ht="27.65" customHeight="1" x14ac:dyDescent="0.45">
      <c r="A24" s="236">
        <v>3</v>
      </c>
      <c r="B24" s="389" t="s">
        <v>542</v>
      </c>
      <c r="C24" s="389"/>
      <c r="D24" s="389"/>
    </row>
    <row r="25" spans="1:4" ht="60" customHeight="1" x14ac:dyDescent="0.45">
      <c r="A25" s="236">
        <v>4</v>
      </c>
      <c r="B25" s="389" t="s">
        <v>543</v>
      </c>
      <c r="C25" s="389"/>
      <c r="D25" s="389"/>
    </row>
    <row r="26" spans="1:4" ht="45" customHeight="1" x14ac:dyDescent="0.45">
      <c r="A26" s="236">
        <v>5</v>
      </c>
      <c r="B26" s="389" t="s">
        <v>544</v>
      </c>
      <c r="C26" s="389"/>
      <c r="D26" s="389"/>
    </row>
    <row r="27" spans="1:4" ht="30" customHeight="1" x14ac:dyDescent="0.45">
      <c r="A27" s="236">
        <v>6</v>
      </c>
      <c r="B27" s="237" t="s">
        <v>616</v>
      </c>
      <c r="C27" s="237"/>
      <c r="D27" s="237"/>
    </row>
    <row r="28" spans="1:4" ht="47.5" customHeight="1" x14ac:dyDescent="0.45">
      <c r="A28" s="236">
        <v>7</v>
      </c>
      <c r="B28" s="389" t="s">
        <v>545</v>
      </c>
      <c r="C28" s="389"/>
      <c r="D28" s="389"/>
    </row>
    <row r="29" spans="1:4" s="21" customFormat="1" ht="45" customHeight="1" x14ac:dyDescent="0.45">
      <c r="A29" s="236">
        <v>8</v>
      </c>
      <c r="B29" s="389" t="s">
        <v>546</v>
      </c>
      <c r="C29" s="389"/>
      <c r="D29" s="389"/>
    </row>
    <row r="30" spans="1:4" ht="30" customHeight="1" x14ac:dyDescent="0.45">
      <c r="A30" s="258" t="s">
        <v>349</v>
      </c>
      <c r="B30" s="258"/>
      <c r="C30" s="258"/>
      <c r="D30" s="258"/>
    </row>
    <row r="31" spans="1:4" ht="30" customHeight="1" x14ac:dyDescent="0.45">
      <c r="A31" s="265" t="s">
        <v>178</v>
      </c>
      <c r="B31" s="265"/>
      <c r="C31" s="265"/>
      <c r="D31" s="265"/>
    </row>
    <row r="32" spans="1:4" ht="30" customHeight="1" x14ac:dyDescent="0.45">
      <c r="A32" s="238">
        <v>1</v>
      </c>
      <c r="B32" s="389" t="s">
        <v>547</v>
      </c>
      <c r="C32" s="389"/>
      <c r="D32" s="389"/>
    </row>
    <row r="33" spans="1:4" ht="30" customHeight="1" x14ac:dyDescent="0.45">
      <c r="A33" s="238">
        <v>2</v>
      </c>
      <c r="B33" s="237" t="s">
        <v>548</v>
      </c>
      <c r="C33" s="237"/>
      <c r="D33" s="237"/>
    </row>
    <row r="34" spans="1:4" ht="45" customHeight="1" x14ac:dyDescent="0.45">
      <c r="A34" s="383" t="s">
        <v>386</v>
      </c>
      <c r="B34" s="383"/>
      <c r="C34" s="383"/>
      <c r="D34" s="383"/>
    </row>
    <row r="35" spans="1:4" ht="45" customHeight="1" x14ac:dyDescent="0.45">
      <c r="A35" s="388" t="s">
        <v>179</v>
      </c>
      <c r="B35" s="388"/>
      <c r="C35" s="50"/>
      <c r="D35" s="50"/>
    </row>
    <row r="36" spans="1:4" ht="45" customHeight="1" x14ac:dyDescent="0.45">
      <c r="A36" s="289" t="s">
        <v>359</v>
      </c>
      <c r="B36" s="290"/>
      <c r="C36" s="290"/>
      <c r="D36" s="290"/>
    </row>
    <row r="37" spans="1:4" ht="45" customHeight="1" x14ac:dyDescent="0.45">
      <c r="A37" s="383" t="s">
        <v>622</v>
      </c>
      <c r="B37" s="383"/>
      <c r="C37" s="383"/>
      <c r="D37" s="383"/>
    </row>
    <row r="38" spans="1:4" ht="20.149999999999999" customHeight="1" x14ac:dyDescent="0.45">
      <c r="A38" s="258" t="s">
        <v>354</v>
      </c>
      <c r="B38" s="258"/>
      <c r="C38" s="258"/>
      <c r="D38" s="258"/>
    </row>
    <row r="39" spans="1:4" ht="30" customHeight="1" x14ac:dyDescent="0.45">
      <c r="A39" s="388" t="s">
        <v>179</v>
      </c>
      <c r="B39" s="388"/>
      <c r="C39" s="239"/>
      <c r="D39" s="239"/>
    </row>
    <row r="40" spans="1:4" ht="45" customHeight="1" x14ac:dyDescent="0.45">
      <c r="A40" s="289" t="s">
        <v>360</v>
      </c>
      <c r="B40" s="290"/>
      <c r="C40" s="290"/>
      <c r="D40" s="290"/>
    </row>
    <row r="41" spans="1:4" ht="20.149999999999999" customHeight="1" x14ac:dyDescent="0.45">
      <c r="A41" s="256" t="s">
        <v>355</v>
      </c>
      <c r="B41" s="256"/>
      <c r="C41" s="256"/>
      <c r="D41" s="256"/>
    </row>
    <row r="42" spans="1:4" ht="20.149999999999999" customHeight="1" x14ac:dyDescent="0.45">
      <c r="A42" s="257" t="s">
        <v>356</v>
      </c>
      <c r="B42" s="257"/>
      <c r="C42" s="257"/>
      <c r="D42" s="257"/>
    </row>
    <row r="43" spans="1:4" ht="30" customHeight="1" x14ac:dyDescent="0.45">
      <c r="A43" s="388" t="s">
        <v>179</v>
      </c>
      <c r="B43" s="388"/>
      <c r="C43" s="239"/>
      <c r="D43" s="239"/>
    </row>
    <row r="44" spans="1:4" ht="45" customHeight="1" x14ac:dyDescent="0.45">
      <c r="A44" s="289" t="s">
        <v>611</v>
      </c>
      <c r="B44" s="290"/>
      <c r="C44" s="290"/>
      <c r="D44" s="290"/>
    </row>
    <row r="45" spans="1:4" ht="20.149999999999999" customHeight="1" x14ac:dyDescent="0.45">
      <c r="A45" s="256" t="s">
        <v>612</v>
      </c>
      <c r="B45" s="256"/>
      <c r="C45" s="256"/>
      <c r="D45" s="256"/>
    </row>
    <row r="46" spans="1:4" ht="20.149999999999999" customHeight="1" x14ac:dyDescent="0.45">
      <c r="A46" s="257" t="s">
        <v>613</v>
      </c>
      <c r="B46" s="258"/>
      <c r="C46" s="258"/>
      <c r="D46" s="258"/>
    </row>
    <row r="47" spans="1:4" ht="30" customHeight="1" x14ac:dyDescent="0.45">
      <c r="A47" s="388" t="s">
        <v>179</v>
      </c>
      <c r="B47" s="388"/>
      <c r="C47" s="239"/>
      <c r="D47" s="239"/>
    </row>
    <row r="48" spans="1:4" ht="45" customHeight="1" x14ac:dyDescent="0.45">
      <c r="A48" s="289" t="s">
        <v>489</v>
      </c>
      <c r="B48" s="290"/>
      <c r="C48" s="290"/>
      <c r="D48" s="290"/>
    </row>
    <row r="49" spans="1:4" ht="20.149999999999999" customHeight="1" x14ac:dyDescent="0.45">
      <c r="A49" s="258" t="s">
        <v>490</v>
      </c>
      <c r="B49" s="258"/>
      <c r="C49" s="258"/>
      <c r="D49" s="258"/>
    </row>
    <row r="50" spans="1:4" ht="30" customHeight="1" x14ac:dyDescent="0.45">
      <c r="A50" s="388" t="s">
        <v>179</v>
      </c>
      <c r="B50" s="388"/>
      <c r="C50" s="239"/>
      <c r="D50" s="239"/>
    </row>
    <row r="51" spans="1:4" ht="45" customHeight="1" x14ac:dyDescent="0.45">
      <c r="A51" s="289" t="s">
        <v>488</v>
      </c>
      <c r="B51" s="290"/>
      <c r="C51" s="290"/>
      <c r="D51" s="290"/>
    </row>
    <row r="52" spans="1:4" ht="20.149999999999999" customHeight="1" x14ac:dyDescent="0.45">
      <c r="A52" s="258" t="s">
        <v>491</v>
      </c>
      <c r="B52" s="258"/>
      <c r="C52" s="258"/>
      <c r="D52" s="258"/>
    </row>
    <row r="53" spans="1:4" ht="30" customHeight="1" x14ac:dyDescent="0.45">
      <c r="A53" s="388" t="s">
        <v>179</v>
      </c>
      <c r="B53" s="388"/>
      <c r="C53" s="239"/>
      <c r="D53" s="239"/>
    </row>
    <row r="54" spans="1:4" ht="20.25" customHeight="1" x14ac:dyDescent="0.45">
      <c r="A54" s="41"/>
      <c r="B54" s="42"/>
      <c r="C54" s="42"/>
      <c r="D54" s="43"/>
    </row>
    <row r="55" spans="1:4" s="20" customFormat="1" ht="35.25" customHeight="1" x14ac:dyDescent="0.45">
      <c r="A55" s="45"/>
      <c r="B55" s="278" t="s">
        <v>500</v>
      </c>
      <c r="C55" s="247"/>
      <c r="D55" s="247"/>
    </row>
  </sheetData>
  <sheetProtection algorithmName="SHA-512" hashValue="tCA1nOS5QDwniGGKGY8MnTfBcjzy4SpB5H48SoZ4jAiQupV5Ti/nDxr94GEQXijLzZA4BX+9N8l5dzzkajVE9A==" saltValue="jJB3WO/Du/yOTczJYih+AQ==" spinCount="100000" sheet="1" objects="1" scenarios="1" formatCells="0" formatColumns="0" formatRows="0"/>
  <dataConsolidate/>
  <mergeCells count="27">
    <mergeCell ref="A37:D37"/>
    <mergeCell ref="A47:B47"/>
    <mergeCell ref="A53:B53"/>
    <mergeCell ref="A50:B50"/>
    <mergeCell ref="A39:B39"/>
    <mergeCell ref="A43:B43"/>
    <mergeCell ref="B24:D24"/>
    <mergeCell ref="B28:D28"/>
    <mergeCell ref="A34:D34"/>
    <mergeCell ref="A35:B35"/>
    <mergeCell ref="B25:D25"/>
    <mergeCell ref="B26:D26"/>
    <mergeCell ref="B29:D29"/>
    <mergeCell ref="B32:D32"/>
    <mergeCell ref="A19:D19"/>
    <mergeCell ref="A4:D4"/>
    <mergeCell ref="A6:D6"/>
    <mergeCell ref="A7:D7"/>
    <mergeCell ref="A11:D11"/>
    <mergeCell ref="A18:D18"/>
    <mergeCell ref="A8:D8"/>
    <mergeCell ref="A9:D9"/>
    <mergeCell ref="A10:D10"/>
    <mergeCell ref="A12:D12"/>
    <mergeCell ref="A14:D14"/>
    <mergeCell ref="A15:D15"/>
    <mergeCell ref="A16:B16"/>
  </mergeCells>
  <hyperlinks>
    <hyperlink ref="A7:D7" location="About_the_File_Level_Request_Worksheet" display="About the File-Level Request Worksheet" xr:uid="{00000000-0004-0000-0200-000000000000}"/>
    <hyperlink ref="A8:D8" location="About_the_Summary_Worksheet" display="About the Summary Worksheet" xr:uid="{00000000-0004-0000-0200-000005000000}"/>
    <hyperlink ref="A9:D9" location="About_the_App_A_File_Desc_Worksheet" display="About the App_A_File_Desc Worksheet" xr:uid="{00000000-0004-0000-0200-000006000000}"/>
    <hyperlink ref="A35" location="Table_of_Contents" display="Return to Table of Contents" xr:uid="{00000000-0004-0000-0200-000007000000}"/>
    <hyperlink ref="A35:B35" location="Table_of_Contents" display="Return to Table of Contents" xr:uid="{00000000-0004-0000-0200-000008000000}"/>
    <hyperlink ref="A39" location="Table_of_Contents" display="Return to Table of Contents" xr:uid="{00000000-0004-0000-0200-000011000000}"/>
    <hyperlink ref="A39:B39" location="Table_of_Contents" display="Return to Table of Contents" xr:uid="{00000000-0004-0000-0200-000012000000}"/>
    <hyperlink ref="A43" location="Table_of_Contents" display="Return to Table of Contents" xr:uid="{00000000-0004-0000-0200-000013000000}"/>
    <hyperlink ref="A43:B43" location="Table_of_Contents" display="Return to Table of Contents" xr:uid="{00000000-0004-0000-0200-000014000000}"/>
    <hyperlink ref="A11:D11" location="About_the_App_D_Acronyms_Worksheet" display="About App_D_TAF_Availability" xr:uid="{00000000-0004-0000-0200-000017000000}"/>
    <hyperlink ref="A50" location="Table_of_Contents" display="Return to Table of Contents" xr:uid="{00000000-0004-0000-0200-000018000000}"/>
    <hyperlink ref="A50:B50" location="Table_of_Contents" display="Return to Table of Contents" xr:uid="{00000000-0004-0000-0200-000019000000}"/>
    <hyperlink ref="A53" location="Table_of_Contents" display="Return to Table of Contents" xr:uid="{00000000-0004-0000-0200-00001A000000}"/>
    <hyperlink ref="A53:B53" location="Table_of_Contents" display="Return to Table of Contents" xr:uid="{00000000-0004-0000-0200-00001B000000}"/>
    <hyperlink ref="A10:D10" location="About_the_App_B_Encryotion_Levels_Worksheet" display="About App_B_Encryption Levels Worksheet" xr:uid="{00000000-0004-0000-0200-00001C000000}"/>
    <hyperlink ref="A12:D12" location="About_the_App_E_Glossary_Worksheet" display="About App_E_Glossary" xr:uid="{00000000-0004-0000-0200-00001D000000}"/>
    <hyperlink ref="A47" location="Table_of_Contents" display="Return to Table of Contents" xr:uid="{00000000-0004-0000-0200-00001E000000}"/>
    <hyperlink ref="A47:B47" location="Table_of_Contents" display="Return to Table of Contents" xr:uid="{00000000-0004-0000-0200-00001F000000}"/>
    <hyperlink ref="A6:D6" location="About_Request_Form!A13" display="About the Research_Project_Info Tab" xr:uid="{00000000-0004-0000-0200-000022000000}"/>
    <hyperlink ref="A16" location="Table_of_Contents" display="Return to Table of Contents" xr:uid="{00000000-0004-0000-0200-000023000000}"/>
    <hyperlink ref="A16:B16" location="Table_of_Contents" display="Return to Table of Contents" xr:uid="{00000000-0004-0000-0200-000024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DDEE5"/>
  </sheetPr>
  <dimension ref="A1:B18"/>
  <sheetViews>
    <sheetView showGridLines="0" zoomScaleNormal="100" workbookViewId="0">
      <selection activeCell="A2" sqref="A2"/>
    </sheetView>
  </sheetViews>
  <sheetFormatPr defaultColWidth="8.69140625" defaultRowHeight="17.5" x14ac:dyDescent="0.45"/>
  <cols>
    <col min="1" max="1" width="9.4609375" style="47" customWidth="1"/>
    <col min="2" max="2" width="185.69140625" style="47" customWidth="1"/>
    <col min="3" max="16384" width="8.69140625" style="19"/>
  </cols>
  <sheetData>
    <row r="1" spans="1:2" ht="28.5" customHeight="1" x14ac:dyDescent="0.45">
      <c r="A1" s="234" t="s">
        <v>385</v>
      </c>
      <c r="B1" s="34"/>
    </row>
    <row r="2" spans="1:2" ht="43.15" customHeight="1" x14ac:dyDescent="0.7">
      <c r="A2" s="379" t="s">
        <v>345</v>
      </c>
      <c r="B2" s="48"/>
    </row>
    <row r="3" spans="1:2" ht="39.65" customHeight="1" x14ac:dyDescent="0.75">
      <c r="A3" s="340" t="s">
        <v>397</v>
      </c>
      <c r="B3" s="343"/>
    </row>
    <row r="4" spans="1:2" ht="22.9" customHeight="1" x14ac:dyDescent="0.75">
      <c r="A4" s="341" t="s">
        <v>588</v>
      </c>
      <c r="B4" s="343"/>
    </row>
    <row r="5" spans="1:2" s="20" customFormat="1" ht="31.15" customHeight="1" x14ac:dyDescent="0.45">
      <c r="A5" s="345" t="s">
        <v>589</v>
      </c>
      <c r="B5" s="344"/>
    </row>
    <row r="6" spans="1:2" s="20" customFormat="1" ht="21.65" customHeight="1" x14ac:dyDescent="0.45">
      <c r="A6" s="353" t="s">
        <v>565</v>
      </c>
      <c r="B6" s="344"/>
    </row>
    <row r="7" spans="1:2" s="20" customFormat="1" ht="33" customHeight="1" x14ac:dyDescent="0.45">
      <c r="A7" s="354" t="s">
        <v>566</v>
      </c>
      <c r="B7" s="344"/>
    </row>
    <row r="8" spans="1:2" ht="33" customHeight="1" x14ac:dyDescent="0.45">
      <c r="A8" s="352" t="s">
        <v>562</v>
      </c>
      <c r="B8" s="52"/>
    </row>
    <row r="9" spans="1:2" ht="25.15" customHeight="1" x14ac:dyDescent="0.45">
      <c r="A9" s="350">
        <v>1</v>
      </c>
      <c r="B9" s="267" t="s">
        <v>590</v>
      </c>
    </row>
    <row r="10" spans="1:2" ht="19.899999999999999" customHeight="1" x14ac:dyDescent="0.45">
      <c r="A10" s="350"/>
      <c r="B10" s="351" t="s">
        <v>564</v>
      </c>
    </row>
    <row r="11" spans="1:2" ht="25.15" customHeight="1" x14ac:dyDescent="0.45">
      <c r="A11" s="291">
        <v>2</v>
      </c>
      <c r="B11" s="259" t="s">
        <v>560</v>
      </c>
    </row>
    <row r="12" spans="1:2" ht="25.15" customHeight="1" x14ac:dyDescent="0.45">
      <c r="A12" s="291">
        <v>3</v>
      </c>
      <c r="B12" s="259" t="s">
        <v>615</v>
      </c>
    </row>
    <row r="13" spans="1:2" ht="25.15" customHeight="1" x14ac:dyDescent="0.45">
      <c r="A13" s="291">
        <v>4</v>
      </c>
      <c r="B13" s="259" t="s">
        <v>561</v>
      </c>
    </row>
    <row r="14" spans="1:2" ht="25.15" customHeight="1" x14ac:dyDescent="0.45">
      <c r="A14" s="291">
        <v>5</v>
      </c>
      <c r="B14" s="259" t="s">
        <v>180</v>
      </c>
    </row>
    <row r="15" spans="1:2" ht="20.149999999999999" customHeight="1" x14ac:dyDescent="0.45">
      <c r="A15" s="39"/>
      <c r="B15" s="259" t="s">
        <v>591</v>
      </c>
    </row>
    <row r="16" spans="1:2" ht="20.149999999999999" customHeight="1" x14ac:dyDescent="0.45">
      <c r="A16" s="40"/>
      <c r="B16" s="51" t="s">
        <v>592</v>
      </c>
    </row>
    <row r="17" spans="1:2" ht="25.15" customHeight="1" x14ac:dyDescent="0.45">
      <c r="A17" s="349">
        <v>6</v>
      </c>
      <c r="B17" s="348" t="s">
        <v>563</v>
      </c>
    </row>
    <row r="18" spans="1:2" s="21" customFormat="1" ht="49.9" customHeight="1" x14ac:dyDescent="0.45">
      <c r="A18" s="347" t="s">
        <v>500</v>
      </c>
      <c r="B18" s="346"/>
    </row>
  </sheetData>
  <sheetProtection algorithmName="SHA-512" hashValue="eBcxAbrmDGSY1NYafsjRSQNbFZbTITEd3czgWbzydnhEaTSde5BSOzn/IBTOrZfzz8M65zjfWVP0lIt3mDA5lw==" saltValue="y8RppWujBfG3gknaLx7jaw==" spinCount="100000" sheet="1" objects="1" scenarios="1" formatCells="0" formatColumns="0" formatRows="0"/>
  <dataConsolid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9597D"/>
  </sheetPr>
  <dimension ref="A1:G40"/>
  <sheetViews>
    <sheetView showGridLines="0" zoomScaleNormal="100" workbookViewId="0">
      <selection activeCell="A2" sqref="A2"/>
    </sheetView>
  </sheetViews>
  <sheetFormatPr defaultColWidth="8.69140625" defaultRowHeight="17.5" x14ac:dyDescent="0.45"/>
  <cols>
    <col min="1" max="1" width="7.765625" style="47" customWidth="1"/>
    <col min="2" max="2" width="50.69140625" style="47" customWidth="1"/>
    <col min="3" max="3" width="4.23046875" style="47" customWidth="1"/>
    <col min="4" max="4" width="40.69140625" style="47" customWidth="1"/>
    <col min="5" max="5" width="4.3046875" style="47" customWidth="1"/>
    <col min="6" max="6" width="40.69140625" style="47" customWidth="1"/>
    <col min="7" max="7" width="8.69140625" style="47" customWidth="1"/>
    <col min="8" max="11" width="8.69140625" style="19" customWidth="1"/>
    <col min="12" max="16384" width="8.69140625" style="19"/>
  </cols>
  <sheetData>
    <row r="1" spans="1:7" ht="28.4" customHeight="1" x14ac:dyDescent="0.45">
      <c r="A1" s="234" t="s">
        <v>385</v>
      </c>
      <c r="B1" s="34"/>
      <c r="C1" s="34"/>
      <c r="D1" s="34"/>
      <c r="E1" s="34"/>
      <c r="F1" s="34"/>
      <c r="G1" s="34"/>
    </row>
    <row r="2" spans="1:7" ht="29" x14ac:dyDescent="0.75">
      <c r="A2" s="369" t="s">
        <v>387</v>
      </c>
      <c r="B2" s="53"/>
      <c r="C2" s="54"/>
      <c r="D2" s="54"/>
      <c r="E2" s="54"/>
      <c r="F2" s="54"/>
      <c r="G2" s="54"/>
    </row>
    <row r="3" spans="1:7" ht="16" customHeight="1" x14ac:dyDescent="0.75">
      <c r="A3" s="55"/>
      <c r="B3" s="55"/>
      <c r="C3" s="55"/>
      <c r="D3" s="55"/>
      <c r="E3" s="55"/>
      <c r="F3" s="55"/>
      <c r="G3" s="55"/>
    </row>
    <row r="4" spans="1:7" s="23" customFormat="1" ht="35.25" customHeight="1" x14ac:dyDescent="0.45">
      <c r="A4" s="329" t="s">
        <v>362</v>
      </c>
      <c r="B4" s="292"/>
      <c r="C4" s="292"/>
      <c r="D4" s="292"/>
      <c r="E4" s="292"/>
      <c r="F4" s="292"/>
      <c r="G4" s="293"/>
    </row>
    <row r="5" spans="1:7" s="30" customFormat="1" ht="20.25" customHeight="1" x14ac:dyDescent="0.45">
      <c r="A5" s="335" t="s">
        <v>71</v>
      </c>
      <c r="B5" s="337" t="s">
        <v>365</v>
      </c>
      <c r="C5" s="294"/>
      <c r="D5" s="294"/>
      <c r="E5" s="294"/>
      <c r="F5" s="294"/>
      <c r="G5" s="295"/>
    </row>
    <row r="6" spans="1:7" s="30" customFormat="1" ht="20.25" customHeight="1" x14ac:dyDescent="0.45">
      <c r="A6" s="335" t="s">
        <v>72</v>
      </c>
      <c r="B6" s="338" t="s">
        <v>559</v>
      </c>
      <c r="C6" s="296"/>
      <c r="D6" s="296"/>
      <c r="E6" s="296"/>
      <c r="F6" s="296"/>
      <c r="G6" s="295"/>
    </row>
    <row r="7" spans="1:7" s="30" customFormat="1" ht="30" customHeight="1" x14ac:dyDescent="0.45">
      <c r="A7" s="336">
        <v>2</v>
      </c>
      <c r="B7" s="339" t="s">
        <v>32</v>
      </c>
      <c r="C7" s="297"/>
      <c r="D7" s="297"/>
      <c r="E7" s="297"/>
      <c r="F7" s="297"/>
      <c r="G7" s="298"/>
    </row>
    <row r="8" spans="1:7" ht="30" customHeight="1" x14ac:dyDescent="0.45">
      <c r="A8" s="51"/>
      <c r="B8" s="51"/>
      <c r="C8" s="51"/>
      <c r="D8" s="51"/>
      <c r="E8" s="51"/>
      <c r="F8" s="51"/>
      <c r="G8" s="37"/>
    </row>
    <row r="9" spans="1:7" ht="25.5" customHeight="1" x14ac:dyDescent="0.45">
      <c r="A9" s="41"/>
      <c r="B9" s="56" t="s">
        <v>363</v>
      </c>
      <c r="C9" s="57"/>
      <c r="D9" s="57"/>
      <c r="E9" s="57"/>
      <c r="F9" s="57"/>
      <c r="G9" s="44"/>
    </row>
    <row r="10" spans="1:7" s="24" customFormat="1" ht="24.75" customHeight="1" x14ac:dyDescent="0.45">
      <c r="A10" s="41"/>
      <c r="B10" s="58" t="s">
        <v>388</v>
      </c>
      <c r="C10" s="59"/>
      <c r="D10" s="59"/>
      <c r="E10" s="59"/>
      <c r="F10" s="60"/>
      <c r="G10" s="44"/>
    </row>
    <row r="11" spans="1:7" ht="45" customHeight="1" x14ac:dyDescent="0.45">
      <c r="A11" s="41"/>
      <c r="B11" s="61" t="s">
        <v>389</v>
      </c>
      <c r="C11" s="390"/>
      <c r="D11" s="390"/>
      <c r="E11" s="391"/>
      <c r="F11" s="392"/>
      <c r="G11" s="44"/>
    </row>
    <row r="12" spans="1:7" ht="45" customHeight="1" x14ac:dyDescent="0.45">
      <c r="A12" s="41"/>
      <c r="B12" s="61" t="s">
        <v>515</v>
      </c>
      <c r="C12" s="391"/>
      <c r="D12" s="393"/>
      <c r="E12" s="393"/>
      <c r="F12" s="394"/>
      <c r="G12" s="44"/>
    </row>
    <row r="13" spans="1:7" ht="55" customHeight="1" x14ac:dyDescent="0.45">
      <c r="A13" s="41"/>
      <c r="B13" s="61" t="s">
        <v>516</v>
      </c>
      <c r="C13" s="391"/>
      <c r="D13" s="393"/>
      <c r="E13" s="393"/>
      <c r="F13" s="394"/>
      <c r="G13" s="44"/>
    </row>
    <row r="14" spans="1:7" ht="55" customHeight="1" x14ac:dyDescent="0.45">
      <c r="A14" s="41"/>
      <c r="B14" s="62" t="s">
        <v>517</v>
      </c>
      <c r="C14" s="395" t="s">
        <v>340</v>
      </c>
      <c r="D14" s="396"/>
      <c r="E14" s="396"/>
      <c r="F14" s="397"/>
      <c r="G14" s="44"/>
    </row>
    <row r="15" spans="1:7" ht="85" customHeight="1" x14ac:dyDescent="0.45">
      <c r="A15" s="63"/>
      <c r="B15" s="64" t="s">
        <v>518</v>
      </c>
      <c r="C15" s="391"/>
      <c r="D15" s="393"/>
      <c r="E15" s="393"/>
      <c r="F15" s="394"/>
      <c r="G15" s="44"/>
    </row>
    <row r="16" spans="1:7" ht="24.75" customHeight="1" x14ac:dyDescent="0.45">
      <c r="A16" s="41"/>
      <c r="B16" s="65" t="s">
        <v>513</v>
      </c>
      <c r="C16" s="66"/>
      <c r="D16" s="66"/>
      <c r="E16" s="66"/>
      <c r="F16" s="67"/>
      <c r="G16" s="44"/>
    </row>
    <row r="17" spans="1:7" ht="45" customHeight="1" x14ac:dyDescent="0.45">
      <c r="A17" s="41"/>
      <c r="B17" s="61" t="s">
        <v>519</v>
      </c>
      <c r="C17" s="390"/>
      <c r="D17" s="390"/>
      <c r="E17" s="391"/>
      <c r="F17" s="392"/>
      <c r="G17" s="44"/>
    </row>
    <row r="18" spans="1:7" ht="45" customHeight="1" x14ac:dyDescent="0.45">
      <c r="A18" s="41"/>
      <c r="B18" s="61" t="s">
        <v>520</v>
      </c>
      <c r="C18" s="391"/>
      <c r="D18" s="393"/>
      <c r="E18" s="393"/>
      <c r="F18" s="394"/>
      <c r="G18" s="44"/>
    </row>
    <row r="19" spans="1:7" ht="45" customHeight="1" x14ac:dyDescent="0.45">
      <c r="A19" s="41"/>
      <c r="B19" s="61" t="s">
        <v>521</v>
      </c>
      <c r="C19" s="391"/>
      <c r="D19" s="393"/>
      <c r="E19" s="393"/>
      <c r="F19" s="394"/>
      <c r="G19" s="44"/>
    </row>
    <row r="20" spans="1:7" ht="45" customHeight="1" x14ac:dyDescent="0.45">
      <c r="A20" s="41"/>
      <c r="B20" s="61" t="s">
        <v>522</v>
      </c>
      <c r="C20" s="404"/>
      <c r="D20" s="404"/>
      <c r="E20" s="405"/>
      <c r="F20" s="406"/>
      <c r="G20" s="44"/>
    </row>
    <row r="21" spans="1:7" ht="45" customHeight="1" x14ac:dyDescent="0.45">
      <c r="A21" s="41"/>
      <c r="B21" s="68" t="s">
        <v>523</v>
      </c>
      <c r="C21" s="407"/>
      <c r="D21" s="408"/>
      <c r="E21" s="409"/>
      <c r="F21" s="410"/>
      <c r="G21" s="44"/>
    </row>
    <row r="22" spans="1:7" ht="24.75" customHeight="1" x14ac:dyDescent="0.45">
      <c r="A22" s="41"/>
      <c r="B22" s="65" t="s">
        <v>463</v>
      </c>
      <c r="C22" s="66"/>
      <c r="D22" s="66"/>
      <c r="E22" s="66"/>
      <c r="F22" s="67"/>
      <c r="G22" s="44"/>
    </row>
    <row r="23" spans="1:7" ht="35.25" customHeight="1" x14ac:dyDescent="0.45">
      <c r="A23" s="41"/>
      <c r="B23" s="372" t="s">
        <v>617</v>
      </c>
      <c r="C23" s="375">
        <v>1</v>
      </c>
      <c r="D23" s="246" t="s">
        <v>593</v>
      </c>
      <c r="E23" s="376"/>
      <c r="F23" s="377"/>
      <c r="G23" s="44"/>
    </row>
    <row r="24" spans="1:7" ht="54" customHeight="1" x14ac:dyDescent="0.45">
      <c r="A24" s="41"/>
      <c r="B24" s="69" t="s">
        <v>464</v>
      </c>
      <c r="C24" s="411"/>
      <c r="D24" s="411"/>
      <c r="E24" s="411"/>
      <c r="F24" s="411"/>
      <c r="G24" s="44"/>
    </row>
    <row r="25" spans="1:7" ht="24.75" customHeight="1" x14ac:dyDescent="0.45">
      <c r="A25" s="41"/>
      <c r="B25" s="70" t="s">
        <v>621</v>
      </c>
      <c r="C25" s="66"/>
      <c r="D25" s="66"/>
      <c r="E25" s="66"/>
      <c r="F25" s="66"/>
      <c r="G25" s="44"/>
    </row>
    <row r="26" spans="1:7" ht="55" customHeight="1" x14ac:dyDescent="0.45">
      <c r="A26" s="71"/>
      <c r="B26" s="72" t="s">
        <v>524</v>
      </c>
      <c r="C26" s="73"/>
      <c r="D26" s="74" t="s">
        <v>376</v>
      </c>
      <c r="E26" s="74"/>
      <c r="F26" s="268"/>
      <c r="G26" s="44"/>
    </row>
    <row r="27" spans="1:7" ht="88" customHeight="1" x14ac:dyDescent="0.45">
      <c r="A27" s="71"/>
      <c r="B27" s="72" t="s">
        <v>620</v>
      </c>
      <c r="C27" s="378">
        <v>0</v>
      </c>
      <c r="D27" s="75" t="s">
        <v>374</v>
      </c>
      <c r="E27" s="75"/>
      <c r="F27" s="268" t="s">
        <v>375</v>
      </c>
      <c r="G27" s="44"/>
    </row>
    <row r="28" spans="1:7" ht="20.25" customHeight="1" x14ac:dyDescent="0.45">
      <c r="A28" s="41"/>
      <c r="B28" s="76"/>
      <c r="C28" s="43"/>
      <c r="D28" s="43"/>
      <c r="E28" s="43"/>
      <c r="F28" s="43"/>
      <c r="G28" s="44"/>
    </row>
    <row r="29" spans="1:7" ht="25.5" customHeight="1" x14ac:dyDescent="0.45">
      <c r="A29" s="41"/>
      <c r="B29" s="260" t="s">
        <v>364</v>
      </c>
      <c r="C29" s="260"/>
      <c r="D29" s="260"/>
      <c r="E29" s="260"/>
      <c r="F29" s="260"/>
      <c r="G29" s="44"/>
    </row>
    <row r="30" spans="1:7" s="24" customFormat="1" ht="25.5" customHeight="1" x14ac:dyDescent="0.45">
      <c r="A30" s="41"/>
      <c r="B30" s="77" t="s">
        <v>139</v>
      </c>
      <c r="C30" s="78"/>
      <c r="D30" s="78"/>
      <c r="E30" s="78"/>
      <c r="F30" s="79"/>
      <c r="G30" s="44"/>
    </row>
    <row r="31" spans="1:7" ht="45" customHeight="1" x14ac:dyDescent="0.45">
      <c r="A31" s="41"/>
      <c r="B31" s="61" t="s">
        <v>525</v>
      </c>
      <c r="C31" s="412"/>
      <c r="D31" s="412"/>
      <c r="E31" s="412"/>
      <c r="F31" s="412"/>
      <c r="G31" s="44"/>
    </row>
    <row r="32" spans="1:7" ht="25.5" customHeight="1" x14ac:dyDescent="0.45">
      <c r="A32" s="41"/>
      <c r="B32" s="65" t="s">
        <v>384</v>
      </c>
      <c r="C32" s="248"/>
      <c r="D32" s="248"/>
      <c r="E32" s="248"/>
      <c r="F32" s="249"/>
      <c r="G32" s="44"/>
    </row>
    <row r="33" spans="1:7" ht="45" customHeight="1" x14ac:dyDescent="0.45">
      <c r="A33" s="41"/>
      <c r="B33" s="61" t="s">
        <v>526</v>
      </c>
      <c r="C33" s="401"/>
      <c r="D33" s="402"/>
      <c r="E33" s="402"/>
      <c r="F33" s="403"/>
      <c r="G33" s="44"/>
    </row>
    <row r="34" spans="1:7" ht="55" customHeight="1" x14ac:dyDescent="0.45">
      <c r="A34" s="41"/>
      <c r="B34" s="61" t="s">
        <v>527</v>
      </c>
      <c r="C34" s="401"/>
      <c r="D34" s="402"/>
      <c r="E34" s="402"/>
      <c r="F34" s="403"/>
      <c r="G34" s="44"/>
    </row>
    <row r="35" spans="1:7" ht="45" customHeight="1" x14ac:dyDescent="0.45">
      <c r="A35" s="41"/>
      <c r="B35" s="61" t="s">
        <v>528</v>
      </c>
      <c r="C35" s="401"/>
      <c r="D35" s="402"/>
      <c r="E35" s="402"/>
      <c r="F35" s="403"/>
      <c r="G35" s="44"/>
    </row>
    <row r="36" spans="1:7" ht="45" customHeight="1" x14ac:dyDescent="0.45">
      <c r="A36" s="41"/>
      <c r="B36" s="61" t="s">
        <v>522</v>
      </c>
      <c r="C36" s="404"/>
      <c r="D36" s="404"/>
      <c r="E36" s="405"/>
      <c r="F36" s="406"/>
      <c r="G36" s="44"/>
    </row>
    <row r="37" spans="1:7" ht="45" customHeight="1" x14ac:dyDescent="0.45">
      <c r="A37" s="41"/>
      <c r="B37" s="68" t="s">
        <v>529</v>
      </c>
      <c r="C37" s="398"/>
      <c r="D37" s="399"/>
      <c r="E37" s="399"/>
      <c r="F37" s="400"/>
      <c r="G37" s="44"/>
    </row>
    <row r="38" spans="1:7" ht="20.25" customHeight="1" x14ac:dyDescent="0.45">
      <c r="A38" s="41"/>
      <c r="B38" s="80"/>
      <c r="C38" s="43"/>
      <c r="D38" s="43"/>
      <c r="E38" s="43"/>
      <c r="F38" s="43"/>
      <c r="G38" s="44"/>
    </row>
    <row r="39" spans="1:7" x14ac:dyDescent="0.45">
      <c r="A39" s="41"/>
      <c r="B39" s="81"/>
      <c r="C39" s="80"/>
      <c r="D39" s="80"/>
      <c r="E39" s="80"/>
      <c r="F39" s="80"/>
      <c r="G39" s="44"/>
    </row>
    <row r="40" spans="1:7" s="20" customFormat="1" ht="35.25" customHeight="1" x14ac:dyDescent="0.45">
      <c r="A40" s="45"/>
      <c r="B40" s="278" t="s">
        <v>500</v>
      </c>
      <c r="C40" s="247"/>
      <c r="D40" s="247"/>
      <c r="E40" s="247"/>
      <c r="F40" s="247"/>
      <c r="G40" s="46"/>
    </row>
  </sheetData>
  <sheetProtection algorithmName="SHA-512" hashValue="I1lLgnJbeELAoMQh8jBBS1Jj5T7KHVt5ih/JZK6NHHrAE4mMsxtPXKIDr7QRxFrp2j2Ps0jFcm1D6qOIZW80KQ==" saltValue="tOQ4wgm/V6ijGvgrgnAuJg==" spinCount="100000" sheet="1" objects="1" scenarios="1" formatCells="0" formatColumns="0" formatRows="0"/>
  <dataConsolidate/>
  <customSheetViews>
    <customSheetView guid="{9DB63C14-8C2E-43D7-ACAD-1DD967C25093}" showGridLines="0">
      <selection sqref="A1:K1"/>
      <pageMargins left="0.7" right="0.7" top="0.75" bottom="0.75" header="0.3" footer="0.3"/>
      <pageSetup orientation="portrait" r:id="rId1"/>
    </customSheetView>
  </customSheetViews>
  <mergeCells count="17">
    <mergeCell ref="C37:F37"/>
    <mergeCell ref="C33:F33"/>
    <mergeCell ref="C36:F36"/>
    <mergeCell ref="C21:F21"/>
    <mergeCell ref="C15:F15"/>
    <mergeCell ref="C18:F18"/>
    <mergeCell ref="C19:F19"/>
    <mergeCell ref="C20:F20"/>
    <mergeCell ref="C24:F24"/>
    <mergeCell ref="C31:F31"/>
    <mergeCell ref="C34:F34"/>
    <mergeCell ref="C35:F35"/>
    <mergeCell ref="C11:F11"/>
    <mergeCell ref="C12:F12"/>
    <mergeCell ref="C13:F13"/>
    <mergeCell ref="C14:F14"/>
    <mergeCell ref="C17:F17"/>
  </mergeCells>
  <dataValidations xWindow="792" yWindow="679" count="26">
    <dataValidation allowBlank="1" showInputMessage="1" showErrorMessage="1" prompt="Enter any optional comments about your request." sqref="B38" xr:uid="{00000000-0002-0000-0400-00000E000000}"/>
    <dataValidation allowBlank="1" sqref="F23" xr:uid="{00000000-0002-0000-0400-000012000000}"/>
    <dataValidation allowBlank="1" showInputMessage="1" showErrorMessage="1" prompt="Enter the name of any non-CMS or non-identifiable files you intend to use along with the CMS data files for your study.affiliated institution or organization for the requester." sqref="C15" xr:uid="{00000000-0002-0000-0400-000015000000}"/>
    <dataValidation allowBlank="1" error="Please enter a valid survey data authorization number (i.e., ####-###)." prompt="If available, enter the data authorization number (i.e., ####-###) from the MedRIC study partner." sqref="D26:E27 F26:F27" xr:uid="{00000000-0002-0000-0400-000016000000}"/>
    <dataValidation allowBlank="1" showInputMessage="1" error="Please enter a valid survey data authorization number (i.e., ####-###)." prompt="Select if you would like to use R analytic software in the Health and Aging Data Enclave. " sqref="C26" xr:uid="{00000000-0002-0000-0400-000018000000}"/>
    <dataValidation allowBlank="1" showInputMessage="1" error="Please enter a valid survey data authorization number (i.e., ####-###)." prompt="Select if you would like to use SAS analytic software in the Health and Aging Data Enclave. " sqref="C27" xr:uid="{00000000-0002-0000-0400-000019000000}"/>
    <dataValidation allowBlank="1" showInputMessage="1" prompt="Select the name of the LINKAGE study partner affiliated with your study." sqref="C23" xr:uid="{2287D9E0-5675-4DF2-B3CF-D5F092BCE955}"/>
    <dataValidation allowBlank="1" showInputMessage="1" prompt="Select the name of the NIA Study Partner affiliated with your study." sqref="D23" xr:uid="{00000000-0002-0000-0400-00001A000000}"/>
    <dataValidation type="textLength" allowBlank="1" showInputMessage="1" showErrorMessage="1" prompt="Enter the title of your study." sqref="C11:F11" xr:uid="{00000000-0002-0000-0400-000000000000}">
      <formula1>1</formula1>
      <formula2>250</formula2>
    </dataValidation>
    <dataValidation type="textLength" allowBlank="1" showInputMessage="1" showErrorMessage="1" prompt="Enter the first and last name of your study's POC." sqref="C17:F17" xr:uid="{00000000-0002-0000-0400-000001000000}">
      <formula1>1</formula1>
      <formula2>100</formula2>
    </dataValidation>
    <dataValidation type="custom" allowBlank="1" showInputMessage="1" showErrorMessage="1" error="Please enter a valid 10-digit phone number (i.e., ###-###-####)." prompt="Enter the phone number, excluding dashes and spaces (i.e., ##########), of your study's POC." sqref="C20:F20" xr:uid="{00000000-0002-0000-0400-000002000000}">
      <formula1>AND(OR(LEN(C20)=10),ISNUMBER(C20))</formula1>
    </dataValidation>
    <dataValidation type="textLength" allowBlank="1" showInputMessage="1" showErrorMessage="1" prompt="Enter the street address, city, state, and ZIP code for your study's POC." sqref="C19:F19" xr:uid="{00000000-0002-0000-0400-000003000000}">
      <formula1>1</formula1>
      <formula2>100</formula2>
    </dataValidation>
    <dataValidation allowBlank="1" showInputMessage="1" prompt="Enter your NIA DUA number." sqref="C31:F31" xr:uid="{00000000-0002-0000-0400-000004000000}"/>
    <dataValidation type="textLength" allowBlank="1" showInputMessage="1" prompt="Enter the first and last name of the person who is requesting LINKAGE data files for your study." sqref="C12:F12" xr:uid="{00000000-0002-0000-0400-000005000000}">
      <formula1>1</formula1>
      <formula2>250</formula2>
    </dataValidation>
    <dataValidation type="textLength" allowBlank="1" showInputMessage="1" showErrorMessage="1" prompt="Enter the name of the affiliated institution or organization for the requester." sqref="C13:F13" xr:uid="{00000000-0002-0000-0400-000006000000}">
      <formula1>1</formula1>
      <formula2>250</formula2>
    </dataValidation>
    <dataValidation type="textLength" allowBlank="1" showInputMessage="1" showErrorMessage="1" prompt="Enter the name of the affiliated institution or organization for your study's POC." sqref="C18:F18" xr:uid="{00000000-0002-0000-0400-000007000000}">
      <formula1>1</formula1>
      <formula2>100</formula2>
    </dataValidation>
    <dataValidation type="custom" allowBlank="1" showInputMessage="1" showErrorMessage="1" error="Please enter a valid email address (i.e., username@hostname.domain )." prompt="Enter the business email address (i.e., username@hostname.domain) for your study's POC." sqref="C21:F21" xr:uid="{00000000-0002-0000-0400-000008000000}">
      <formula1>AND(FIND(".",C21),FIND("@",C21))</formula1>
    </dataValidation>
    <dataValidation type="textLength" allowBlank="1" showInputMessage="1" showErrorMessage="1" prompt="Enter the first and last name of the User on your study's NIA DUA." sqref="C33:F33" xr:uid="{00000000-0002-0000-0400-000009000000}">
      <formula1>1</formula1>
      <formula2>250</formula2>
    </dataValidation>
    <dataValidation type="textLength" allowBlank="1" showInputMessage="1" showErrorMessage="1" prompt="Enter the name of the affiliated institution or organization for the User on your study's NIA DUA." sqref="C34:F34" xr:uid="{00000000-0002-0000-0400-00000A000000}">
      <formula1>1</formula1>
      <formula2>250</formula2>
    </dataValidation>
    <dataValidation type="textLength" allowBlank="1" showInputMessage="1" showErrorMessage="1" prompt="Enter the street address, city, state, and ZIP code for the User on your NIA DUA." sqref="C35:F35" xr:uid="{00000000-0002-0000-0400-00000B000000}">
      <formula1>1</formula1>
      <formula2>250</formula2>
    </dataValidation>
    <dataValidation type="custom" allowBlank="1" showInputMessage="1" showErrorMessage="1" error="Please enter a valid 10-digit phone number (i.e., ###-###-####)." prompt="Enter the phone number, excluding dashes and spaces (i.e., ##########), of the User on your study's NIA DUA." sqref="C36:F36" xr:uid="{00000000-0002-0000-0400-00000C000000}">
      <formula1>AND(OR(LEN(C36)=10),ISNUMBER(C36))</formula1>
    </dataValidation>
    <dataValidation type="custom" allowBlank="1" showInputMessage="1" showErrorMessage="1" error="Please enter a valid email address (i.e., username@hostname.domain )." prompt="Enter the email address (i.e., username@hostname.domain) for the User on your NIA DUA." sqref="C37:F37" xr:uid="{00000000-0002-0000-0400-00000D000000}">
      <formula1>AND(FIND(".",C37),FIND("@",C37))</formula1>
    </dataValidation>
    <dataValidation allowBlank="1" prompt="Enter any optional comments about your request." sqref="C38:F38" xr:uid="{00000000-0002-0000-0400-00000F000000}"/>
    <dataValidation allowBlank="1" showInputMessage="1" showErrorMessage="1" error="Please enter a valid survey data authorization number (i.e., ####-###)." prompt="If available, enter the data authorization number (i.e., ####-###) from the study partner." sqref="C24:F24" xr:uid="{00000000-0002-0000-0400-000013000000}"/>
    <dataValidation type="list" allowBlank="1" showInputMessage="1" showErrorMessage="1" prompt="Select a response." sqref="C14:F14" xr:uid="{00000000-0002-0000-0400-000014000000}">
      <formula1>"Select a Response, I plan to request additional years of CMS data, I do NOT plan to request additional years of CMS data"</formula1>
    </dataValidation>
    <dataValidation allowBlank="1" showInputMessage="1" sqref="E23" xr:uid="{9FDFE836-D109-4FC9-973A-5E73BDA07A81}"/>
  </dataValidations>
  <hyperlinks>
    <hyperlink ref="B6:F6" location="Update_Request_Form" display="If you are submitting an update request, complete the &quot;UPDATE REQUEST FORM&quot; below." xr:uid="{00000000-0004-0000-04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41" r:id="rId5" name="Option Button 117">
              <controlPr defaultSize="0" autoFill="0" autoLine="0" autoPict="0" altText="Click to select SAS">
                <anchor>
                  <from>
                    <xdr:col>2</xdr:col>
                    <xdr:colOff>107950</xdr:colOff>
                    <xdr:row>26</xdr:row>
                    <xdr:rowOff>450850</xdr:rowOff>
                  </from>
                  <to>
                    <xdr:col>3</xdr:col>
                    <xdr:colOff>704850</xdr:colOff>
                    <xdr:row>26</xdr:row>
                    <xdr:rowOff>660400</xdr:rowOff>
                  </to>
                </anchor>
              </controlPr>
            </control>
          </mc:Choice>
        </mc:AlternateContent>
        <mc:AlternateContent xmlns:mc="http://schemas.openxmlformats.org/markup-compatibility/2006">
          <mc:Choice Requires="x14">
            <control shapeId="1143" r:id="rId6" name="Check Box 119">
              <controlPr defaultSize="0" autoFill="0" autoLine="0" autoPict="0" altText="Click to select R">
                <anchor moveWithCells="1">
                  <from>
                    <xdr:col>2</xdr:col>
                    <xdr:colOff>107950</xdr:colOff>
                    <xdr:row>25</xdr:row>
                    <xdr:rowOff>241300</xdr:rowOff>
                  </from>
                  <to>
                    <xdr:col>3</xdr:col>
                    <xdr:colOff>546100</xdr:colOff>
                    <xdr:row>25</xdr:row>
                    <xdr:rowOff>469900</xdr:rowOff>
                  </to>
                </anchor>
              </controlPr>
            </control>
          </mc:Choice>
        </mc:AlternateContent>
        <mc:AlternateContent xmlns:mc="http://schemas.openxmlformats.org/markup-compatibility/2006">
          <mc:Choice Requires="x14">
            <control shapeId="1144" r:id="rId7" name="Option Button 120">
              <controlPr defaultSize="0" autoFill="0" autoLine="0" autoPict="0" altText="Click to select STATA">
                <anchor>
                  <from>
                    <xdr:col>4</xdr:col>
                    <xdr:colOff>38100</xdr:colOff>
                    <xdr:row>26</xdr:row>
                    <xdr:rowOff>457200</xdr:rowOff>
                  </from>
                  <to>
                    <xdr:col>4</xdr:col>
                    <xdr:colOff>228600</xdr:colOff>
                    <xdr:row>26</xdr:row>
                    <xdr:rowOff>647700</xdr:rowOff>
                  </to>
                </anchor>
              </controlPr>
            </control>
          </mc:Choice>
        </mc:AlternateContent>
        <mc:AlternateContent xmlns:mc="http://schemas.openxmlformats.org/markup-compatibility/2006">
          <mc:Choice Requires="x14">
            <control shapeId="1150" r:id="rId8" name="Option Button 126">
              <controlPr defaultSize="0" autoFill="0" autoLine="0" autoPict="0" altText="Click to Select National Health and Aging Trends Study (NHATS)">
                <anchor>
                  <from>
                    <xdr:col>2</xdr:col>
                    <xdr:colOff>95250</xdr:colOff>
                    <xdr:row>22</xdr:row>
                    <xdr:rowOff>114300</xdr:rowOff>
                  </from>
                  <to>
                    <xdr:col>3</xdr:col>
                    <xdr:colOff>3194050</xdr:colOff>
                    <xdr:row>22</xdr:row>
                    <xdr:rowOff>381000</xdr:rowOff>
                  </to>
                </anchor>
              </controlPr>
            </control>
          </mc:Choice>
        </mc:AlternateContent>
        <mc:AlternateContent xmlns:mc="http://schemas.openxmlformats.org/markup-compatibility/2006">
          <mc:Choice Requires="x14">
            <control shapeId="1152" r:id="rId9" name="Group Box 128">
              <controlPr locked="0" defaultSize="0" autoFill="0" autoPict="0">
                <anchor moveWithCells="1">
                  <from>
                    <xdr:col>1</xdr:col>
                    <xdr:colOff>4343400</xdr:colOff>
                    <xdr:row>22</xdr:row>
                    <xdr:rowOff>0</xdr:rowOff>
                  </from>
                  <to>
                    <xdr:col>5</xdr:col>
                    <xdr:colOff>3486150</xdr:colOff>
                    <xdr:row>23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9597D"/>
  </sheetPr>
  <dimension ref="A1:J109"/>
  <sheetViews>
    <sheetView showGridLines="0" zoomScaleNormal="100" workbookViewId="0">
      <selection activeCell="A2" sqref="A2"/>
    </sheetView>
  </sheetViews>
  <sheetFormatPr defaultColWidth="8.69140625" defaultRowHeight="17.5" x14ac:dyDescent="0.45"/>
  <cols>
    <col min="1" max="1" width="7.765625" style="143" customWidth="1"/>
    <col min="2" max="2" width="16.07421875" style="143" customWidth="1"/>
    <col min="3" max="3" width="70.69140625" style="143" customWidth="1"/>
    <col min="4" max="4" width="15.69140625" style="143" customWidth="1"/>
    <col min="5" max="5" width="18.69140625" style="144" customWidth="1"/>
    <col min="6" max="7" width="15.69140625" style="144" customWidth="1"/>
    <col min="8" max="8" width="15.69140625" style="143" customWidth="1"/>
    <col min="9" max="9" width="65.69140625" style="143" customWidth="1"/>
    <col min="10" max="10" width="8.69140625" style="143" customWidth="1"/>
    <col min="11" max="14" width="8.69140625" style="19" customWidth="1"/>
    <col min="15" max="16384" width="8.69140625" style="19"/>
  </cols>
  <sheetData>
    <row r="1" spans="1:10" ht="28.4" customHeight="1" x14ac:dyDescent="0.45">
      <c r="A1" s="234" t="s">
        <v>385</v>
      </c>
      <c r="B1" s="82"/>
      <c r="C1" s="82"/>
      <c r="D1" s="82"/>
      <c r="E1" s="83"/>
      <c r="F1" s="83"/>
      <c r="G1" s="83"/>
      <c r="H1" s="82"/>
      <c r="I1" s="82"/>
      <c r="J1" s="82"/>
    </row>
    <row r="2" spans="1:10" ht="30.75" customHeight="1" x14ac:dyDescent="0.7">
      <c r="A2" s="370" t="s">
        <v>361</v>
      </c>
      <c r="B2" s="84"/>
      <c r="C2" s="84"/>
      <c r="D2" s="84"/>
      <c r="E2" s="85"/>
      <c r="F2" s="85"/>
      <c r="G2" s="85"/>
      <c r="H2" s="86"/>
      <c r="I2" s="86"/>
      <c r="J2" s="86"/>
    </row>
    <row r="3" spans="1:10" ht="16" customHeight="1" x14ac:dyDescent="0.7">
      <c r="A3" s="87"/>
      <c r="B3" s="87"/>
      <c r="C3" s="87"/>
      <c r="D3" s="87"/>
      <c r="E3" s="85"/>
      <c r="F3" s="85"/>
      <c r="G3" s="85"/>
      <c r="H3" s="86"/>
      <c r="I3" s="86"/>
      <c r="J3" s="86"/>
    </row>
    <row r="4" spans="1:10" ht="20.149999999999999" customHeight="1" x14ac:dyDescent="0.45">
      <c r="A4" s="330" t="s">
        <v>558</v>
      </c>
      <c r="B4" s="299"/>
      <c r="C4" s="299"/>
      <c r="D4" s="299"/>
      <c r="E4" s="299"/>
      <c r="F4" s="299"/>
      <c r="G4" s="299"/>
      <c r="H4" s="299"/>
      <c r="I4" s="299"/>
      <c r="J4" s="300"/>
    </row>
    <row r="5" spans="1:10" ht="35.25" customHeight="1" x14ac:dyDescent="0.45">
      <c r="A5" s="329" t="s">
        <v>595</v>
      </c>
      <c r="B5" s="301"/>
      <c r="C5" s="301"/>
      <c r="D5" s="301"/>
      <c r="E5" s="302"/>
      <c r="F5" s="302"/>
      <c r="G5" s="302"/>
      <c r="H5" s="301"/>
      <c r="I5" s="301"/>
      <c r="J5" s="300"/>
    </row>
    <row r="6" spans="1:10" ht="20.25" customHeight="1" x14ac:dyDescent="0.45">
      <c r="A6" s="331">
        <v>1</v>
      </c>
      <c r="B6" s="312" t="s">
        <v>599</v>
      </c>
      <c r="C6" s="303"/>
      <c r="D6" s="304"/>
      <c r="E6" s="304"/>
      <c r="F6" s="304"/>
      <c r="G6" s="304"/>
      <c r="H6" s="304"/>
      <c r="I6" s="304"/>
      <c r="J6" s="304"/>
    </row>
    <row r="7" spans="1:10" s="20" customFormat="1" ht="20.25" customHeight="1" x14ac:dyDescent="0.45">
      <c r="A7" s="331">
        <v>2</v>
      </c>
      <c r="B7" s="312" t="s">
        <v>600</v>
      </c>
      <c r="C7" s="305"/>
      <c r="D7" s="305"/>
      <c r="E7" s="305"/>
      <c r="F7" s="305"/>
      <c r="G7" s="305"/>
      <c r="H7" s="305"/>
      <c r="I7" s="305"/>
      <c r="J7" s="305"/>
    </row>
    <row r="8" spans="1:10" s="20" customFormat="1" ht="20.25" customHeight="1" x14ac:dyDescent="0.45">
      <c r="A8" s="331">
        <v>3</v>
      </c>
      <c r="B8" s="312" t="s">
        <v>601</v>
      </c>
      <c r="C8" s="305"/>
      <c r="D8" s="305"/>
      <c r="E8" s="305"/>
      <c r="F8" s="305"/>
      <c r="G8" s="305"/>
      <c r="H8" s="305"/>
      <c r="I8" s="305"/>
      <c r="J8" s="305"/>
    </row>
    <row r="9" spans="1:10" s="20" customFormat="1" ht="20.25" customHeight="1" x14ac:dyDescent="0.45">
      <c r="A9" s="332"/>
      <c r="B9" s="312" t="s">
        <v>350</v>
      </c>
      <c r="C9" s="305"/>
      <c r="D9" s="305"/>
      <c r="E9" s="305"/>
      <c r="F9" s="305"/>
      <c r="G9" s="305"/>
      <c r="H9" s="305"/>
      <c r="I9" s="305"/>
      <c r="J9" s="305"/>
    </row>
    <row r="10" spans="1:10" s="20" customFormat="1" ht="20.25" customHeight="1" x14ac:dyDescent="0.45">
      <c r="A10" s="333">
        <v>4</v>
      </c>
      <c r="B10" s="312" t="s">
        <v>602</v>
      </c>
      <c r="C10" s="305"/>
      <c r="D10" s="305"/>
      <c r="E10" s="305"/>
      <c r="F10" s="305"/>
      <c r="G10" s="305"/>
      <c r="H10" s="305"/>
      <c r="I10" s="305"/>
      <c r="J10" s="305"/>
    </row>
    <row r="11" spans="1:10" s="20" customFormat="1" ht="20.25" customHeight="1" x14ac:dyDescent="0.45">
      <c r="A11" s="332"/>
      <c r="B11" s="312" t="s">
        <v>351</v>
      </c>
      <c r="C11" s="305"/>
      <c r="D11" s="305"/>
      <c r="E11" s="305"/>
      <c r="F11" s="305"/>
      <c r="G11" s="305"/>
      <c r="H11" s="305"/>
      <c r="I11" s="305"/>
      <c r="J11" s="305"/>
    </row>
    <row r="12" spans="1:10" s="20" customFormat="1" ht="20.25" customHeight="1" x14ac:dyDescent="0.45">
      <c r="A12" s="333">
        <v>5</v>
      </c>
      <c r="B12" s="312" t="s">
        <v>603</v>
      </c>
      <c r="C12" s="305"/>
      <c r="D12" s="305"/>
      <c r="E12" s="305"/>
      <c r="F12" s="305"/>
      <c r="G12" s="305"/>
      <c r="H12" s="305"/>
      <c r="I12" s="305"/>
      <c r="J12" s="305"/>
    </row>
    <row r="13" spans="1:10" s="20" customFormat="1" ht="20.25" customHeight="1" x14ac:dyDescent="0.45">
      <c r="A13" s="332"/>
      <c r="B13" s="312" t="s">
        <v>352</v>
      </c>
      <c r="C13" s="305"/>
      <c r="D13" s="305"/>
      <c r="E13" s="305"/>
      <c r="F13" s="305"/>
      <c r="G13" s="305"/>
      <c r="H13" s="305"/>
      <c r="I13" s="305"/>
      <c r="J13" s="305"/>
    </row>
    <row r="14" spans="1:10" s="20" customFormat="1" ht="20.25" customHeight="1" x14ac:dyDescent="0.45">
      <c r="A14" s="332">
        <v>6</v>
      </c>
      <c r="B14" s="312" t="s">
        <v>259</v>
      </c>
      <c r="C14" s="306"/>
      <c r="D14" s="306"/>
      <c r="E14" s="306"/>
      <c r="F14" s="306"/>
      <c r="G14" s="305"/>
      <c r="H14" s="305"/>
      <c r="I14" s="305"/>
      <c r="J14" s="305"/>
    </row>
    <row r="15" spans="1:10" s="20" customFormat="1" ht="20.25" customHeight="1" x14ac:dyDescent="0.45">
      <c r="A15" s="332"/>
      <c r="B15" s="312" t="s">
        <v>501</v>
      </c>
      <c r="C15" s="306"/>
      <c r="D15" s="306"/>
      <c r="E15" s="306"/>
      <c r="F15" s="306"/>
      <c r="G15" s="305"/>
      <c r="H15" s="305"/>
      <c r="I15" s="305"/>
      <c r="J15" s="305"/>
    </row>
    <row r="16" spans="1:10" s="20" customFormat="1" ht="20.149999999999999" customHeight="1" x14ac:dyDescent="0.45">
      <c r="A16" s="333">
        <v>7</v>
      </c>
      <c r="B16" s="312" t="s">
        <v>138</v>
      </c>
      <c r="C16" s="307"/>
      <c r="D16" s="307"/>
      <c r="E16" s="307"/>
      <c r="F16" s="308"/>
      <c r="G16" s="305"/>
      <c r="H16" s="305"/>
      <c r="I16" s="305"/>
      <c r="J16" s="305"/>
    </row>
    <row r="17" spans="1:10" s="31" customFormat="1" ht="30" customHeight="1" x14ac:dyDescent="0.45">
      <c r="A17" s="309"/>
      <c r="B17" s="334" t="s">
        <v>507</v>
      </c>
      <c r="C17" s="310"/>
      <c r="D17" s="310"/>
      <c r="E17" s="310"/>
      <c r="F17" s="310"/>
      <c r="G17" s="310"/>
      <c r="H17" s="310"/>
      <c r="I17" s="311"/>
      <c r="J17" s="311"/>
    </row>
    <row r="18" spans="1:10" ht="31.5" customHeight="1" x14ac:dyDescent="0.45">
      <c r="A18" s="88"/>
      <c r="B18" s="88"/>
      <c r="C18" s="89"/>
      <c r="D18" s="89"/>
      <c r="E18" s="90"/>
      <c r="F18" s="90"/>
      <c r="G18" s="90"/>
      <c r="H18" s="89"/>
      <c r="I18" s="89"/>
      <c r="J18" s="88"/>
    </row>
    <row r="19" spans="1:10" ht="22.5" customHeight="1" x14ac:dyDescent="0.45">
      <c r="A19" s="88"/>
      <c r="B19" s="91" t="s">
        <v>156</v>
      </c>
      <c r="C19" s="92"/>
      <c r="D19" s="92"/>
      <c r="E19" s="92"/>
      <c r="F19" s="92"/>
      <c r="G19" s="92"/>
      <c r="H19" s="92"/>
      <c r="I19" s="93"/>
      <c r="J19" s="94"/>
    </row>
    <row r="20" spans="1:10" ht="49.9" customHeight="1" thickBot="1" x14ac:dyDescent="0.5">
      <c r="A20" s="88"/>
      <c r="B20" s="269" t="s">
        <v>468</v>
      </c>
      <c r="C20" s="270"/>
      <c r="D20" s="270"/>
      <c r="E20" s="270"/>
      <c r="F20" s="270"/>
      <c r="G20" s="270"/>
      <c r="H20" s="95"/>
      <c r="I20" s="96"/>
      <c r="J20" s="94"/>
    </row>
    <row r="21" spans="1:10" ht="80.25" customHeight="1" thickBot="1" x14ac:dyDescent="0.5">
      <c r="A21" s="88"/>
      <c r="B21" s="97" t="s">
        <v>20</v>
      </c>
      <c r="C21" s="98" t="s">
        <v>69</v>
      </c>
      <c r="D21" s="99" t="s">
        <v>1</v>
      </c>
      <c r="E21" s="100" t="s">
        <v>170</v>
      </c>
      <c r="F21" s="101" t="s">
        <v>171</v>
      </c>
      <c r="G21" s="101" t="s">
        <v>172</v>
      </c>
      <c r="H21" s="101" t="s">
        <v>605</v>
      </c>
      <c r="I21" s="102" t="s">
        <v>530</v>
      </c>
      <c r="J21" s="103"/>
    </row>
    <row r="22" spans="1:10" ht="100.4" customHeight="1" thickBot="1" x14ac:dyDescent="0.5">
      <c r="A22" s="88"/>
      <c r="B22" s="104"/>
      <c r="C22" s="105"/>
      <c r="D22" s="106"/>
      <c r="E22" s="223" t="s">
        <v>153</v>
      </c>
      <c r="F22" s="223" t="s">
        <v>260</v>
      </c>
      <c r="G22" s="223" t="s">
        <v>261</v>
      </c>
      <c r="H22" s="223" t="s">
        <v>604</v>
      </c>
      <c r="I22" s="224"/>
      <c r="J22" s="103"/>
    </row>
    <row r="23" spans="1:10" ht="128.25" customHeight="1" x14ac:dyDescent="0.45">
      <c r="A23" s="88"/>
      <c r="B23" s="107" t="s">
        <v>21</v>
      </c>
      <c r="C23" s="108" t="s">
        <v>116</v>
      </c>
      <c r="D23" s="109" t="str">
        <f>IF(DN_Min_Year="N/A","N/A",IF(DN_Max_Year=0,DN_Min_Year,CONCATENATE(DN_Min_Year," - ",DN_Max_Year)))</f>
        <v>N/A</v>
      </c>
      <c r="E23" s="110" t="str">
        <f>IF(OR(E$22="Select X to Request All Files in Category",F$22="Enter Start Year",G$22="Enter End Year",F$22&lt;Medicare_Enrollment_Data_Min_Year, F$22&gt;Medicare_Enrollment_Data_Max_Year,G$22&lt;Medicare_Enrollment_Data_Min_Year,G$22&gt;Medicare_Enrollment_Data_Max_Year,F$22&gt;G$22, D$23="N/A"),"",IF(F22&gt;DN_Max_Year,"",E$22))</f>
        <v/>
      </c>
      <c r="F23" s="111" t="str">
        <f>IF(OR(E$22="Select X to Request All Files in Category", F$22="Enter Start Year", G$22="Enter End Year", F$22&lt;Medicare_Enrollment_Data_Min_Year, F$22&gt;Medicare_Enrollment_Data_Max_Year, G$22&lt;Medicare_Enrollment_Data_Min_Year, G$22&gt;Medicare_Enrollment_Data_Max_Year, D23="N/A"),"", IF(AND(F$22&gt;G$22, E$22="x"), "Invalid year(s) entered. Check the Start Year and End Year values.", IF(F$22&gt;DN_Max_Year, "", F$22)))</f>
        <v/>
      </c>
      <c r="G23" s="111" t="str">
        <f>IF(OR(E$22="Select X to Request All Files in Category", F$22="Enter Start Year", G$22="Enter End Year", F$22&lt;Medicare_Enrollment_Data_Min_Year, F$22&gt;Medicare_Enrollment_Data_Max_Year, G$22&lt;Medicare_Enrollment_Data_Min_Year, G$22&gt;Medicare_Enrollment_Data_Max_Year,D23="N/A"),"", IF(AND(F$22&gt;G$22, E$22="x"),"Invalid year(s) entered. Check the Start Year and End Year values.", IF(F$22&gt;DN_Max_Year,"", IF(G$22&gt;=DN_Max_Year, DN_Max_Year, G$22))))</f>
        <v/>
      </c>
      <c r="H23" s="111" t="str">
        <f>IF(E23="x",IF(H$22="Select a Masking Level","",H$22),"")</f>
        <v/>
      </c>
      <c r="I23" s="112" t="str">
        <f>IF(E23="x",IF(I$22=0,"",I$22),"")</f>
        <v/>
      </c>
      <c r="J23" s="103"/>
    </row>
    <row r="24" spans="1:10" ht="128.25" customHeight="1" x14ac:dyDescent="0.45">
      <c r="A24" s="88"/>
      <c r="B24" s="107" t="s">
        <v>149</v>
      </c>
      <c r="C24" s="107" t="s">
        <v>117</v>
      </c>
      <c r="D24" s="109" t="str">
        <f>IF(MBSF_Base_Min_Year="N/A","N/A",IF(MBSF_Base_Max_Year=0,MBSF_Base_Min_Year, CONCATENATE(MBSF_Base_Min_Year," - ",MBSF_Base_Max_Year)))</f>
        <v>2006 - 2021</v>
      </c>
      <c r="E24" s="113" t="str">
        <f>IF(OR(E$22="Select X to Request All Files in Category",F$22="Enter Start Year",G$22="Enter End Year",F$22&lt;Medicare_Enrollment_Data_Min_Year,F$22&gt;Medicare_Enrollment_Data_Max_Year,G$22&lt;Medicare_Enrollment_Data_Min_Year,G$22&gt;Medicare_Enrollment_Data_Max_Year,F$22&gt;G$22,D24="N/A"),"",IF(G$22&lt;MBSF_Base_Min_Year,"",E$22))</f>
        <v/>
      </c>
      <c r="F24" s="114" t="str">
        <f>IF(OR(E$22="Select X to Request All Files in Category", F$22="Enter Start Year", G$22="Enter End Year", F$22&lt;Medicare_Enrollment_Data_Min_Year, F$22&gt;Medicare_Enrollment_Data_Max_Year, G$22&lt;Medicare_Enrollment_Data_Min_Year, G$22&gt;Medicare_Enrollment_Data_Max_Year, D24="N/A"), "", IF(AND(F$22&gt;G$22, E$22="x"),"Invalid year(s) entered. Check the Start Year and End Year values.", IF(G$22&lt;MBSF_Base_Min_Year, "", IF(F$22&lt;MBSF_Base_Min_Year, MBSF_Base_Min_Year, F$22))))</f>
        <v/>
      </c>
      <c r="G24" s="114" t="str">
        <f>IF(OR(E$22="Select X to Request All Files in Category",F$22="Enter Start Year", G$22="Enter End Year", F$22&lt;Medicare_Enrollment_Data_Min_Year, F$22&gt;Medicare_Enrollment_Data_Max_Year, G$22&lt;Medicare_Enrollment_Data_Min_Year, G$22&gt;Medicare_Enrollment_Data_Max_Year, D24="N/A"), "", IF(AND(F$22&gt;G$22, E$22="x"), "Invalid year(s) entered. Check the Start Year and End Year values.", IF(G$22&lt;MBSF_Base_Min_Year, "", G$22)))</f>
        <v/>
      </c>
      <c r="H24" s="111" t="str">
        <f>IF(E24="x",IF(H$22="Select a Masking Level","",H$22),"")</f>
        <v/>
      </c>
      <c r="I24" s="115" t="str">
        <f>IF(E24="x",IF(I$22=0,"",I$22),"")</f>
        <v/>
      </c>
      <c r="J24" s="103"/>
    </row>
    <row r="25" spans="1:10" ht="55.4" customHeight="1" x14ac:dyDescent="0.45">
      <c r="A25" s="88"/>
      <c r="B25" s="116" t="s">
        <v>97</v>
      </c>
      <c r="C25" s="117"/>
      <c r="D25" s="89"/>
      <c r="E25" s="90"/>
      <c r="F25" s="90"/>
      <c r="G25" s="90"/>
      <c r="H25" s="89"/>
      <c r="I25" s="89"/>
      <c r="J25" s="88"/>
    </row>
    <row r="26" spans="1:10" ht="22.5" customHeight="1" x14ac:dyDescent="0.45">
      <c r="A26" s="88"/>
      <c r="B26" s="91" t="s">
        <v>157</v>
      </c>
      <c r="C26" s="92"/>
      <c r="D26" s="92"/>
      <c r="E26" s="92"/>
      <c r="F26" s="92"/>
      <c r="G26" s="92"/>
      <c r="H26" s="92"/>
      <c r="I26" s="93"/>
      <c r="J26" s="88"/>
    </row>
    <row r="27" spans="1:10" ht="37.9" customHeight="1" thickBot="1" x14ac:dyDescent="0.5">
      <c r="A27" s="88"/>
      <c r="B27" s="269" t="s">
        <v>474</v>
      </c>
      <c r="C27" s="271"/>
      <c r="D27" s="271"/>
      <c r="E27" s="271"/>
      <c r="F27" s="271"/>
      <c r="G27" s="271"/>
      <c r="H27" s="118"/>
      <c r="I27" s="119"/>
      <c r="J27" s="88"/>
    </row>
    <row r="28" spans="1:10" ht="80.150000000000006" customHeight="1" thickBot="1" x14ac:dyDescent="0.5">
      <c r="A28" s="88"/>
      <c r="B28" s="97" t="s">
        <v>20</v>
      </c>
      <c r="C28" s="98" t="s">
        <v>69</v>
      </c>
      <c r="D28" s="99" t="s">
        <v>1</v>
      </c>
      <c r="E28" s="100" t="s">
        <v>170</v>
      </c>
      <c r="F28" s="101" t="s">
        <v>171</v>
      </c>
      <c r="G28" s="101" t="s">
        <v>172</v>
      </c>
      <c r="H28" s="101" t="s">
        <v>605</v>
      </c>
      <c r="I28" s="102" t="s">
        <v>531</v>
      </c>
      <c r="J28" s="88"/>
    </row>
    <row r="29" spans="1:10" ht="100" customHeight="1" thickBot="1" x14ac:dyDescent="0.5">
      <c r="A29" s="88"/>
      <c r="B29" s="104"/>
      <c r="C29" s="105"/>
      <c r="D29" s="106"/>
      <c r="E29" s="223" t="s">
        <v>153</v>
      </c>
      <c r="F29" s="223" t="s">
        <v>260</v>
      </c>
      <c r="G29" s="223" t="s">
        <v>261</v>
      </c>
      <c r="H29" s="223" t="s">
        <v>604</v>
      </c>
      <c r="I29" s="224"/>
      <c r="J29" s="88"/>
    </row>
    <row r="30" spans="1:10" ht="128.15" customHeight="1" x14ac:dyDescent="0.45">
      <c r="A30" s="88"/>
      <c r="B30" s="107" t="s">
        <v>150</v>
      </c>
      <c r="C30" s="107" t="s">
        <v>405</v>
      </c>
      <c r="D30" s="109" t="str">
        <f>IF(MBSF_CC_Min_Year="N/A","N/A",IF(MBSF_CC_Max_Year=0,MBSF_CC_Min_Year, CONCATENATE(MBSF_CC_Min_Year," - ",MBSF_CC_Max_Year)))</f>
        <v>2006 - 2020</v>
      </c>
      <c r="E30" s="113" t="str">
        <f>IF(OR(E$29="Select X to Request All Files in Category",F$29="Select Start Year", G$29="Select End Year",F$29&gt;G$29, F$29&lt;MBSF_CC_Min_Year, F$29&gt;MBSF_CC_Max_Year,G$29&lt;MBSF_CC_Min_Year, G$29&gt;MBSF_CC_Max_Year, D30="N/A"),"",E$29)</f>
        <v/>
      </c>
      <c r="F30" s="114" t="str">
        <f>IF(OR(E$29="Select X to Request All Files in Category",F$29="Select Start Year",G$29="Select End Year",F$29&lt;MBSF_CC_Min_Year,G$29&gt;MBSF_CC_Max_Year, D30="N/A"),"",IF(F$29&gt;G$29,"Invalid year selections. Check the Start Year and End Year values",F$29))</f>
        <v/>
      </c>
      <c r="G30" s="114" t="str">
        <f>IF(OR(E$29="Select X to Request All Files in Category",F$29="Select Start Year",G$29="Select End Year",G$29&lt;MBSF_CC_Min_Year,G$29&gt;MBSF_CC_Max_Year,D30="N/A"),"",IF(F$29&gt;G$29,"Invalid year selections. Check the Start Year and End Year values",G$29))</f>
        <v/>
      </c>
      <c r="H30" s="111" t="str">
        <f>IF(E30="x",IF(H$29="Select a Masking Level","",H$29),"")</f>
        <v/>
      </c>
      <c r="I30" s="115" t="str">
        <f>IF(E30="x",IF(I$29=0,"",I$29),"")</f>
        <v/>
      </c>
      <c r="J30" s="88"/>
    </row>
    <row r="31" spans="1:10" ht="128.15" customHeight="1" x14ac:dyDescent="0.45">
      <c r="A31" s="88"/>
      <c r="B31" s="107" t="s">
        <v>151</v>
      </c>
      <c r="C31" s="107" t="s">
        <v>406</v>
      </c>
      <c r="D31" s="109" t="str">
        <f>IF(MBSF_CU_Min_Year="N/A","N/A",IF(MBSF_CU_Max_Year=0,MBSF_CU_Min_Year, CONCATENATE(MBSF_CU_Min_Year," - ",MBSF_CU_Max_Year)))</f>
        <v>2006 - 2020</v>
      </c>
      <c r="E31" s="113" t="str">
        <f>IF(OR(E$29="Select X to Request All Files in Category",F$29="Select Start Year", G$29="Select End Year",F$29&gt;G$29, F$29&lt;MBSF_CU_Min_Year, F$29&gt;MBSF_CU_Max_Year,G$29&lt;MBSF_CU_Min_Year, G$29&gt;MBSF_CU_Max_Year, D31="N/A"),"",E$29)</f>
        <v/>
      </c>
      <c r="F31" s="114" t="str">
        <f>IF(OR(E$29="Select X to Request All Files in Category",F$29="Select Start Year",G$29="Select End Year",F$29&lt;MBSF_CU_Min_Year,G$29&gt;MBSF_CU_Max_Year,D31="N/A"),"",IF(F$29&gt;G$29,"Invalid year selections. Check the Start Year and End Year values",F$29))</f>
        <v/>
      </c>
      <c r="G31" s="114" t="str">
        <f>IF(OR(E$29="Select X to Request All Files in Category",F$29="Select Start Year",G$29="Select End Year",G$29&lt;MBSF_CU_Min_Year,G$29&gt;MBSF_CU_Max_Year,D31="N/A"),"",IF(F$29&gt;G$29,"Invalid year selections. Check the Start Year and End Year values",G$29))</f>
        <v/>
      </c>
      <c r="H31" s="111" t="str">
        <f t="shared" ref="H31:H32" si="0">IF(E31="x",IF(H$29="Select a Masking Level","",H$29),"")</f>
        <v/>
      </c>
      <c r="I31" s="115" t="str">
        <f t="shared" ref="I31:I32" si="1">IF(E31="x",IF(I$29=0,"",I$29),"")</f>
        <v/>
      </c>
      <c r="J31" s="88"/>
    </row>
    <row r="32" spans="1:10" ht="128.15" customHeight="1" x14ac:dyDescent="0.45">
      <c r="A32" s="88"/>
      <c r="B32" s="107" t="s">
        <v>152</v>
      </c>
      <c r="C32" s="107" t="s">
        <v>407</v>
      </c>
      <c r="D32" s="109" t="str">
        <f>IF(MBSF_Other_Min_Year="N/A","N/A",IF(MBSF_Other_Max_Year=0,MBSF_Other_Min_Year, CONCATENATE(MBSF_Other_Min_Year," - ",MBSF_Other_Max_Year)))</f>
        <v>2006 - 2020</v>
      </c>
      <c r="E32" s="113" t="str">
        <f>IF(OR(E$29="Select X to Request All Files in Category",F$29="Enter Start Year",G$29="Enter End Year",F$29&lt;Additional_Medicare_Summary_Files_Min_Year,F$29&gt;Additional_Medicare_Summary_Files_Max_Year,G$29&lt;Additional_Medicare_Summary_Files_Min_Year,G$29&gt;Additional_Medicare_Summary_Files_Max_Year,F$29&gt;G$29,D32="N/A"),"",IF(G$29&lt;MBSF_Other_Min_Year,"",E$29))</f>
        <v/>
      </c>
      <c r="F32" s="114" t="str">
        <f>IF(OR(E$29="Select X to Request All Files in Category", F$29="Enter Start Year", G$29="Enter End Year", F$29&lt;Additional_Medicare_Summary_Files_Min_Year, F$29&gt;Additional_Medicare_Summary_Files_Max_Year, G$29&lt;Additional_Medicare_Summary_Files_Min_Year, G$29&gt;Additional_Medicare_Summary_Files_Max_Year, D32="N/A"), "", IF(AND(F$29&gt;G$29, E$29="x"),"Invalid year(s) entered. Check the Start Year and End Year values.", IF(G$29&lt;Additional_Medicare_Summary_Files_Min_Year, "", IF(F$29&lt;MBSF_Other_Min_Year, MBSF_Other_Min_Year, F$29))))</f>
        <v/>
      </c>
      <c r="G32" s="114" t="str">
        <f>IF(OR(E$29="Select X to Request All Files in Category",F$29="Enter Start Year", G$29="Enter End Year", F$29&lt;Additional_Medicare_Summary_Files_Min_Year, F$29&gt;Additional_Medicare_Summary_Files_Max_Year, G$29&lt;Additional_Medicare_Summary_Files_Min_Year, G$29&gt;Additional_Medicare_Summary_Files_Max_Year, D32="N/A"), "", IF(AND(F$29&gt;G$29, E$29="x"), "Invalid year(s) entered. Check the Start Year and End Year values.", IF(G$29&lt;MBSF_Other_Min_Year, "", G$29)))</f>
        <v/>
      </c>
      <c r="H32" s="111" t="str">
        <f t="shared" si="0"/>
        <v/>
      </c>
      <c r="I32" s="115" t="str">
        <f t="shared" si="1"/>
        <v/>
      </c>
      <c r="J32" s="88"/>
    </row>
    <row r="33" spans="1:10" ht="55.4" customHeight="1" x14ac:dyDescent="0.45">
      <c r="A33" s="88"/>
      <c r="B33" s="116" t="s">
        <v>97</v>
      </c>
      <c r="C33" s="117"/>
      <c r="D33" s="89"/>
      <c r="E33" s="90"/>
      <c r="F33" s="90"/>
      <c r="G33" s="90"/>
      <c r="H33" s="89"/>
      <c r="I33" s="89"/>
      <c r="J33" s="88"/>
    </row>
    <row r="34" spans="1:10" ht="22.5" customHeight="1" x14ac:dyDescent="0.45">
      <c r="A34" s="88"/>
      <c r="B34" s="91" t="s">
        <v>158</v>
      </c>
      <c r="C34" s="120"/>
      <c r="D34" s="120"/>
      <c r="E34" s="120"/>
      <c r="F34" s="120"/>
      <c r="G34" s="120"/>
      <c r="H34" s="120"/>
      <c r="I34" s="121"/>
      <c r="J34" s="88"/>
    </row>
    <row r="35" spans="1:10" ht="37.15" customHeight="1" thickBot="1" x14ac:dyDescent="0.5">
      <c r="A35" s="88"/>
      <c r="B35" s="269" t="s">
        <v>475</v>
      </c>
      <c r="C35" s="271"/>
      <c r="D35" s="271"/>
      <c r="E35" s="271"/>
      <c r="F35" s="271"/>
      <c r="G35" s="271"/>
      <c r="H35" s="122"/>
      <c r="I35" s="123"/>
      <c r="J35" s="88"/>
    </row>
    <row r="36" spans="1:10" ht="80.25" customHeight="1" thickBot="1" x14ac:dyDescent="0.5">
      <c r="A36" s="88"/>
      <c r="B36" s="97" t="s">
        <v>20</v>
      </c>
      <c r="C36" s="98" t="s">
        <v>69</v>
      </c>
      <c r="D36" s="99" t="s">
        <v>1</v>
      </c>
      <c r="E36" s="100" t="s">
        <v>173</v>
      </c>
      <c r="F36" s="101" t="s">
        <v>171</v>
      </c>
      <c r="G36" s="101" t="s">
        <v>172</v>
      </c>
      <c r="H36" s="101" t="s">
        <v>605</v>
      </c>
      <c r="I36" s="102" t="s">
        <v>532</v>
      </c>
      <c r="J36" s="124"/>
    </row>
    <row r="37" spans="1:10" ht="100.4" customHeight="1" thickBot="1" x14ac:dyDescent="0.5">
      <c r="A37" s="88"/>
      <c r="B37" s="104"/>
      <c r="C37" s="105"/>
      <c r="D37" s="106"/>
      <c r="E37" s="223" t="s">
        <v>153</v>
      </c>
      <c r="F37" s="223" t="s">
        <v>260</v>
      </c>
      <c r="G37" s="223" t="s">
        <v>261</v>
      </c>
      <c r="H37" s="223" t="s">
        <v>604</v>
      </c>
      <c r="I37" s="224"/>
      <c r="J37" s="124"/>
    </row>
    <row r="38" spans="1:10" ht="128.25" customHeight="1" x14ac:dyDescent="0.45">
      <c r="A38" s="88"/>
      <c r="B38" s="107" t="s">
        <v>112</v>
      </c>
      <c r="C38" s="107" t="s">
        <v>113</v>
      </c>
      <c r="D38" s="109" t="str">
        <f>IF(MAX_PS_Min_Year="N/A","N/A",IF(MAX_PS_Max_Year=0,MAX_PS_Min_Year, CONCATENATE(MAX_PS_Min_Year," - ",MAX_PS_Max_Year)))</f>
        <v>2006 - 2015</v>
      </c>
      <c r="E38" s="113" t="str">
        <f>IF(OR(E$37="Select X to Request All Files in Category",F$37="Enter Start Year",G$37="Enter End Year",F$37&lt;Medicaid_Enrollment_Data_Min_Year, F$37&gt;Medicaid_Enrollment_Data_Max_Year,G$37&lt;Medicaid_Enrollment_Data_Min_Year,G$37&gt;Medicaid_Enrollment_Data_Max_Year,F$37&gt;G$37, D$38="N/A"),"",IF(F$37&gt;MAX_PS_Max_Year,"",E$37))</f>
        <v/>
      </c>
      <c r="F38" s="114" t="str">
        <f>IF(OR(E$37="Select X to Request All Files in Category", $F37="Enter Start Year", G$37="Enter End Year", F$37&lt;Medicaid_Enrollment_Data_Min_Year, F$37&gt;Medicaid_Enrollment_Data_Max_Year, G$37&lt;Medicaid_Enrollment_Data_Min_Year, G$37&gt;Medicaid_Enrollment_Data_Max_Year, D38="N/A"),"", IF(AND(F$37&gt;G$37, E$37="x"),"Invalid year(s) entered. Check the Start Year and End Year values.", IF(F$37&gt;MAX_PS_Max_Year, "", F$37)))</f>
        <v/>
      </c>
      <c r="G38" s="114" t="str">
        <f>IF(OR(E$37="Select X to Request All Files in Category",F$37="Enter Start Year", G$37="Enter End Year",F$37&lt;Medicaid_Enrollment_Data_Min_Year,F$37&gt;Medicaid_Enrollment_Data_Max_Year,G$37&lt;Medicaid_Enrollment_Data_Min_Year,G$37&gt;Medicaid_Enrollment_Data_Max_Year,D38="N/A"),"",IF(AND(F$37&gt;G$37,E$37="x"),"Invalid year(s) entered. Check the Start Year and End Year values.", IF(F$37&gt;MAX_PS_Max_Year, "",IF(G$37&gt;=MAX_PS_Max_Year, MAX_PS_Max_Year,G$37))))</f>
        <v/>
      </c>
      <c r="H38" s="111" t="str">
        <f>IF(E38="x",IF(H$37="Select a Masking  Level","",H$37),"")</f>
        <v/>
      </c>
      <c r="I38" s="115" t="str">
        <f>IF(E38="x",IF(E38="x",IF(I$37=0,"",I$37),""),"")</f>
        <v/>
      </c>
      <c r="J38" s="124"/>
    </row>
    <row r="39" spans="1:10" ht="128.25" customHeight="1" x14ac:dyDescent="0.45">
      <c r="A39" s="88"/>
      <c r="B39" s="107" t="s">
        <v>133</v>
      </c>
      <c r="C39" s="107" t="s">
        <v>408</v>
      </c>
      <c r="D39" s="109" t="str">
        <f>IF(TMSIS_DE_Min_Year="N/A","N/A",IF(TMSIS_DE_Max_Year=0, TMSIS_DE_Min_Year, CONCATENATE(TMSIS_DE_Min_Year," - ",TMSIS_DE_Max_Year)))</f>
        <v>2014 - 2019</v>
      </c>
      <c r="E39" s="113" t="str">
        <f>IF(OR(E$37="Select X to Request All Files in Category",F$37="Enter Start Year",G$37="Enter End Year",F$37&lt;Medicaid_Enrollment_Data_Min_Year,F$37&gt;Medicaid_Enrollment_Data_Max_Year,G$37&lt;Medicaid_Enrollment_Data_Min_Year,G$37&gt;Medicaid_Enrollment_Data_Max_Year,F$37&gt;G$37,D39="N/A"),"",IF(G$37&lt;TMSIS_DE_Min_Year,"",E$37))</f>
        <v/>
      </c>
      <c r="F39" s="114" t="str">
        <f>IF(OR(E$37="Select X to Request All Files in Category", F$37="Enter Start Year", G$37="Enter End Year", F$37&lt;Medicaid_Enrollment_Data_Min_Year, F$37&gt;Medicaid_Enrollment_Data_Max_Year, G$37&lt;Medicaid_Enrollment_Data_Min_Year, G$37&gt;Medicaid_Enrollment_Data_Max_Year, D39="N/A"),"", IF(AND(F$37&gt;G$37, E$37="x"),"Invalid year(s) entered. Check the Start Year and End Year values.", IF(G$37&lt;TMSIS_DE_Min_Year, "", IF(F$37&lt;TMSIS_DE_Min_Year, TMSIS_DE_Min_Year, F$37))))</f>
        <v/>
      </c>
      <c r="G39" s="114" t="str">
        <f>IF(OR(E$37="Select X to Request All Files in Category", F$37="Enter Start Year", G$37="Enter End Year", F$37&lt;Medicaid_Enrollment_Data_Min_Year, F$37&gt;Medicaid_Enrollment_Data_Max_Year, G$37&lt;Medicaid_Enrollment_Data_Min_Year, G$37&gt;Medicaid_Enrollment_Data_Max_Year, D39="N/A"), "", IF(AND(F$37&gt;G$37, E$37="x"),"Invalid year(s) entered. Check the Start Year and End Year values.", IF(G$37&lt;TMSIS_DE_Min_Year, "", G$37)))</f>
        <v/>
      </c>
      <c r="H39" s="111" t="str">
        <f>IF(E39="x",IF(H$37="Select a Masking  Level","",H$37),"")</f>
        <v/>
      </c>
      <c r="I39" s="115" t="str">
        <f>IF(E39="x",IF(E39="x",IF(I$37=0,"",I$37),""),"")</f>
        <v/>
      </c>
      <c r="J39" s="124"/>
    </row>
    <row r="40" spans="1:10" ht="55.4" customHeight="1" x14ac:dyDescent="0.45">
      <c r="A40" s="88"/>
      <c r="B40" s="116" t="s">
        <v>97</v>
      </c>
      <c r="C40" s="117"/>
      <c r="D40" s="89"/>
      <c r="E40" s="90"/>
      <c r="F40" s="90"/>
      <c r="G40" s="90"/>
      <c r="H40" s="89"/>
      <c r="I40" s="89"/>
      <c r="J40" s="88"/>
    </row>
    <row r="41" spans="1:10" ht="22.5" customHeight="1" x14ac:dyDescent="0.45">
      <c r="A41" s="88"/>
      <c r="B41" s="91" t="s">
        <v>159</v>
      </c>
      <c r="C41" s="120"/>
      <c r="D41" s="120"/>
      <c r="E41" s="120"/>
      <c r="F41" s="120"/>
      <c r="G41" s="120"/>
      <c r="H41" s="120"/>
      <c r="I41" s="121"/>
      <c r="J41" s="88"/>
    </row>
    <row r="42" spans="1:10" s="22" customFormat="1" ht="40.9" customHeight="1" thickBot="1" x14ac:dyDescent="0.5">
      <c r="A42" s="125"/>
      <c r="B42" s="269" t="s">
        <v>476</v>
      </c>
      <c r="C42" s="271"/>
      <c r="D42" s="271"/>
      <c r="E42" s="271"/>
      <c r="F42" s="271"/>
      <c r="G42" s="271"/>
      <c r="H42" s="126"/>
      <c r="I42" s="127"/>
      <c r="J42" s="125"/>
    </row>
    <row r="43" spans="1:10" ht="80.25" customHeight="1" thickBot="1" x14ac:dyDescent="0.5">
      <c r="A43" s="88"/>
      <c r="B43" s="97" t="s">
        <v>20</v>
      </c>
      <c r="C43" s="98" t="s">
        <v>69</v>
      </c>
      <c r="D43" s="99" t="s">
        <v>1</v>
      </c>
      <c r="E43" s="100" t="s">
        <v>174</v>
      </c>
      <c r="F43" s="101" t="s">
        <v>171</v>
      </c>
      <c r="G43" s="101" t="s">
        <v>172</v>
      </c>
      <c r="H43" s="101" t="s">
        <v>605</v>
      </c>
      <c r="I43" s="102" t="s">
        <v>533</v>
      </c>
      <c r="J43" s="103"/>
    </row>
    <row r="44" spans="1:10" ht="100.4" customHeight="1" thickBot="1" x14ac:dyDescent="0.5">
      <c r="A44" s="88"/>
      <c r="B44" s="104"/>
      <c r="C44" s="105"/>
      <c r="D44" s="106"/>
      <c r="E44" s="223" t="s">
        <v>153</v>
      </c>
      <c r="F44" s="223" t="s">
        <v>260</v>
      </c>
      <c r="G44" s="223" t="s">
        <v>261</v>
      </c>
      <c r="H44" s="223" t="s">
        <v>604</v>
      </c>
      <c r="I44" s="224"/>
      <c r="J44" s="103"/>
    </row>
    <row r="45" spans="1:10" ht="120" customHeight="1" x14ac:dyDescent="0.45">
      <c r="A45" s="88"/>
      <c r="B45" s="107" t="s">
        <v>289</v>
      </c>
      <c r="C45" s="107" t="s">
        <v>148</v>
      </c>
      <c r="D45" s="109" t="str">
        <f>IF(AB_PB_Min_Year="N/A","N/A",IF(AB_PB_Max_Year=0,AB_PB_Min_Year, CONCATENATE(AB_PB_Min_Year," - ",AB_PB_Max_Year)))</f>
        <v>1991 - 2021</v>
      </c>
      <c r="E45" s="113" t="str">
        <f>IF(OR(E$44="Select X to Request All Files in Category",F$44="Select Start Year", G$44="Select End Year",F$44&gt;G$44, F$44&lt;AB_PB_Min_Year, F$44&gt;AB_PB_Max_Year, G$44&lt;AB_PB_Min_Year, G$44&gt;AB_PB_Max_Year, D45="N/A"),"",E$44)</f>
        <v/>
      </c>
      <c r="F45" s="114" t="str">
        <f>IF(OR(E$44="Select X to Request All Files in Category",F$44="Select Start Year",G$44="Select End Year",F$44&lt;AB_PB_Min_Year,F$44&gt;AB_PB_Max_Year,G$44&lt;AB_PB_Min_Year,G$44&gt;AB_PB_Max_Year,D45="N/A"),"",IF(F$44&gt;G$44,"Invalid year selections. Check the Start Year and End Year values",F$44))</f>
        <v/>
      </c>
      <c r="G45" s="114" t="str">
        <f>IF(OR(E$44="Select X to Request All Files in Category",F$44="Select Start Year",G$44="Select End Year",F$44&lt;AB_PB_Min_Year, F$44&gt;AB_PB_Max_Year, G$44&lt;AB_PB_Min_Year,G$44&gt;AB_PB_Max_Year, D45="N/A"),"",IF(F$44&gt;G$44,"Invalid year selections. Check the Start Year and End Year values",G$44))</f>
        <v/>
      </c>
      <c r="H45" s="111" t="str">
        <f>IF(E45="x",IF(H$44="Select a Masking Level","",H$44),"")</f>
        <v/>
      </c>
      <c r="I45" s="115" t="str">
        <f>IF(E45="x",IF(I$44=0,"",I$44),"")</f>
        <v/>
      </c>
      <c r="J45" s="103"/>
    </row>
    <row r="46" spans="1:10" ht="120" customHeight="1" x14ac:dyDescent="0.45">
      <c r="A46" s="88"/>
      <c r="B46" s="107" t="s">
        <v>290</v>
      </c>
      <c r="C46" s="107" t="s">
        <v>147</v>
      </c>
      <c r="D46" s="109" t="str">
        <f>IF(AB_DM_Min_Year="N/A","N/A",IF(AB_DM_Max_Year=0,AB_DM_Min_Year, CONCATENATE(AB_DM_Min_Year," - ",AB_DM_Max_Year)))</f>
        <v>1991 - 2021</v>
      </c>
      <c r="E46" s="113" t="str">
        <f>IF(OR(E$44="Select X to Request All Files in Category",F$44="Select Start Year", G$44="Select End Year",F$44&gt;G$44, F$44&lt;AB_DM_Min_Year, F$44&gt;AB_DM_Max_Year, G$44&lt;AB_DM_Min_Year, G$44&gt;AB_DM_Max_Year, D46="N/A"),"",E$44)</f>
        <v/>
      </c>
      <c r="F46" s="114" t="str">
        <f>IF(OR(E$44="Select X to Request All Files in Category",F$44="Select Start Year",G$44="Select End Year",F$44&lt;AB_DM_Min_Year,F$44&gt;AB_DM_Max_Year,G$44&lt;AB_DM_Min_Year,G$44&gt;AB_DM_Max_Year,D46="N/A"),"",IF(F$44&gt;G$44,"Invalid year selections. Check the Start Year and End Year values",F$44))</f>
        <v/>
      </c>
      <c r="G46" s="114" t="str">
        <f>IF(OR(E$44="Select X to Request All Files in Category",F$44="Select Start Year",G$44="Select End Year",F$44&lt;AB_DM_Min_Year, F$44&gt;AB_DM_Max_Year, G$44&lt;AB_DM_Min_Year,G$44&gt;AB_DM_Max_Year, D46="N/A"),"",IF(F$44&gt;G$44,"Invalid year selections. Check the Start Year and End Year values",G$44))</f>
        <v/>
      </c>
      <c r="H46" s="111" t="str">
        <f t="shared" ref="H46:H52" si="2">IF(E46="x",IF(H$44="Select a Masking Level","",H$44),"")</f>
        <v/>
      </c>
      <c r="I46" s="115" t="str">
        <f t="shared" ref="I46:I52" si="3">IF(E46="x",IF(I$44=0,"",I$44),"")</f>
        <v/>
      </c>
      <c r="J46" s="103"/>
    </row>
    <row r="47" spans="1:10" ht="120" customHeight="1" x14ac:dyDescent="0.45">
      <c r="A47" s="88"/>
      <c r="B47" s="107" t="s">
        <v>291</v>
      </c>
      <c r="C47" s="107" t="s">
        <v>162</v>
      </c>
      <c r="D47" s="109" t="str">
        <f>IF(AB_HH_Min_Year="N/A","N/A",IF(AB_HH_Max_Year=0,AB_HH_Min_Year, CONCATENATE(AB_HH_Min_Year," - ",AB_HH_Max_Year)))</f>
        <v>1991 - 2021</v>
      </c>
      <c r="E47" s="113" t="str">
        <f>IF(OR(E$44="Select X to Request All Files in Category",F$44="Select Start Year", G$44="Select End Year",F$44&gt;G$44, F$44&lt;AB_HH_Min_Year, F$44&gt;AB_HH_Max_Year, G$44&lt;AB_HH_Min_Year, G$44&gt;AB_HH_Max_Year, D47="N/A"),"",E$44)</f>
        <v/>
      </c>
      <c r="F47" s="114" t="str">
        <f>IF(OR(E$44="Select X to Request All Files in Category",F$44="Select Start Year",G$44="Select End Year",F$44&lt;AB_HH_Min_Year,F$44&gt;AB_HH_Max_Year,G$44&lt;AB_HH_Min_Year,G$44&gt;AB_HH_Max_Year,D47="N/A"),"",IF(F$44&gt;G$44,"Invalid year selections. Check the Start Year and End Year values",F$44))</f>
        <v/>
      </c>
      <c r="G47" s="114" t="str">
        <f>IF(OR(E$44="Select X to Request All Files in Category",F$44="Select Start Year",G$44="Select End Year",F$44&lt;AB_HH_Min_Year, F$44&gt;AB_HH_Max_Year, G$44&lt;AB_HH_Min_Year,G$44&gt;AB_HH_Max_Year, D47="N/A"),"",IF(F$44&gt;G$44,"Invalid year selections. Check the Start Year and End Year values",G$44))</f>
        <v/>
      </c>
      <c r="H47" s="111" t="str">
        <f t="shared" si="2"/>
        <v/>
      </c>
      <c r="I47" s="115" t="str">
        <f t="shared" si="3"/>
        <v/>
      </c>
      <c r="J47" s="103"/>
    </row>
    <row r="48" spans="1:10" ht="120" customHeight="1" x14ac:dyDescent="0.45">
      <c r="A48" s="88"/>
      <c r="B48" s="107" t="s">
        <v>292</v>
      </c>
      <c r="C48" s="107" t="s">
        <v>143</v>
      </c>
      <c r="D48" s="109" t="str">
        <f>IF(AB_HS_Min_Year="N/A","N/A",IF(AB_HS_Max_Year=0,AB_HS_Min_Year, CONCATENATE(AB_HS_Min_Year," - ",AB_HS_Max_Year)))</f>
        <v>1991 - 2021</v>
      </c>
      <c r="E48" s="113" t="str">
        <f>IF(OR(E$44="Select X to Request All Files in Category",F$44="Select Start Year", G$44="Select End Year",F$44&gt;G$44, F$44&lt;AB_HS_Min_Year, F$44&gt;AB_HS_Max_Year, G$44&lt;AB_HS_Min_Year, G$44&gt;AB_HS_Max_Year, D48="N/A"),"",E$44)</f>
        <v/>
      </c>
      <c r="F48" s="114" t="str">
        <f>IF(OR(E$44="Select X to Request All Files in Category",F$44="Select Start Year",G$44="Select End Year",F$44&lt;AB_HS_Min_Year,F$44&gt;AB_HS_Max_Year,G$44&lt;AB_HS_Min_Year,G$44&gt;AB_HS_Max_Year,D48="N/A"),"",IF(F$44&gt;G$44,"Invalid year selections. Check the Start Year and End Year values",F$44))</f>
        <v/>
      </c>
      <c r="G48" s="114" t="str">
        <f>IF(OR(E$44="Select X to Request All Files in Category",F$44="Select Start Year",G$44="Select End Year",F$44&lt;AB_HS_Min_Year, F$44&gt;AB_HS_Max_Year, G$44&lt;AB_HS_Min_Year,G$44&gt;AB_HS_Max_Year, D48="N/A"),"",IF(F$44&gt;G$44,"Invalid year selections. Check the Start Year and End Year values",G$44))</f>
        <v/>
      </c>
      <c r="H48" s="111" t="str">
        <f t="shared" si="2"/>
        <v/>
      </c>
      <c r="I48" s="115" t="str">
        <f t="shared" si="3"/>
        <v/>
      </c>
      <c r="J48" s="103"/>
    </row>
    <row r="49" spans="1:10" ht="120" customHeight="1" x14ac:dyDescent="0.45">
      <c r="A49" s="88"/>
      <c r="B49" s="107" t="s">
        <v>293</v>
      </c>
      <c r="C49" s="107" t="s">
        <v>123</v>
      </c>
      <c r="D49" s="109" t="str">
        <f>IF(AB_IP_Min_Year="N/A","N/A",IF(AB_IP_Max_Year=0,AB_IP_Min_Year, CONCATENATE(AB_IP_Min_Year," - ",AB_IP_Max_Year)))</f>
        <v>1991 - 2021</v>
      </c>
      <c r="E49" s="113" t="str">
        <f>IF(OR(E$44="Select X to Request All Files in Category",F$44="Select Start Year", G$44="Select End Year",F$44&gt;G$44, F$44&lt;AB_IP_Min_Year, F$44&gt;AB_IP_Max_Year, G$44&lt;AB_IP_Min_Year, G$44&gt;AB_IP_Max_Year, D49="N/A"),"",E$44)</f>
        <v/>
      </c>
      <c r="F49" s="114" t="str">
        <f>IF(OR(E$44="Select X to Request All Files in Category",F$44="Select Start Year",G$44="Select End Year",F$44&lt;AB_IP_Min_Year,F$44&gt;AB_IP_Max_Year,G$44&lt;AB_IP_Min_Year,G$44&gt;AB_IP_Max_Year,D49="N/A"),"",IF(F$44&gt;G$44,"Invalid year selections. Check the Start Year and End Year values",F$44))</f>
        <v/>
      </c>
      <c r="G49" s="114" t="str">
        <f>IF(OR(E$44="Select X to Request All Files in Category",F$44="Select Start Year",G$44="Select End Year",F$44&lt;AB_IP_Min_Year, F$44&gt;AB_IP_Max_Year, G$44&lt;AB_IP_Min_Year,G$44&gt;AB_IP_Max_Year, D49="N/A"),"",IF(F$44&gt;G$44,"Invalid year selections. Check the Start Year and End Year values",G$44))</f>
        <v/>
      </c>
      <c r="H49" s="111" t="str">
        <f t="shared" si="2"/>
        <v/>
      </c>
      <c r="I49" s="115" t="str">
        <f t="shared" si="3"/>
        <v/>
      </c>
      <c r="J49" s="103"/>
    </row>
    <row r="50" spans="1:10" ht="120" customHeight="1" x14ac:dyDescent="0.45">
      <c r="A50" s="88"/>
      <c r="B50" s="107" t="s">
        <v>294</v>
      </c>
      <c r="C50" s="107" t="s">
        <v>144</v>
      </c>
      <c r="D50" s="109" t="str">
        <f>IF(AB_OP_Min_Year="N/A","N/A",IF(AB_OP_Max_Year=0,AB_OP_Min_Year, CONCATENATE(AB_OP_Min_Year," - ",AB_OP_Max_Year)))</f>
        <v>1991 - 2021</v>
      </c>
      <c r="E50" s="113" t="str">
        <f>IF(OR(E$44="Select X to Request All Files in Category",F$44="Select Start Year", G$44="Select End Year",F$44&gt;G$44, F$44&lt;AB_OP_Min_Year, F$44&gt;AB_OP_Max_Year, G$44&lt;AB_OP_Min_Year, G$44&gt;AB_OP_Max_Year, D50="N/A"),"",E$44)</f>
        <v/>
      </c>
      <c r="F50" s="114" t="str">
        <f>IF(OR(E$44="Select X to Request All Files in Category",F$44="Select Start Year",G$44="Select End Year",F$44&lt;AB_OP_Min_Year,F$44&gt;AB_OP_Max_Year,G$44&lt;AB_OP_Min_Year,G$44&gt;AB_OP_Max_Year,D50="N/A"),"",IF(F$44&gt;G$44,"Invalid year selections. Check the Start Year and End Year values",F$44))</f>
        <v/>
      </c>
      <c r="G50" s="114" t="str">
        <f>IF(OR(E$44="Select X to Request All Files in Category",F$44="Select Start Year",G$44="Select End Year",F$44&lt;AB_OP_Min_Year, F$44&gt;AB_OP_Max_Year, G$44&lt;AB_OP_Min_Year,G$44&gt;AB_OP_Max_Year, D50="N/A"),"",IF(F$44&gt;G$44,"Invalid year selections. Check the Start Year and End Year values",G$44))</f>
        <v/>
      </c>
      <c r="H50" s="111" t="str">
        <f t="shared" si="2"/>
        <v/>
      </c>
      <c r="I50" s="115" t="str">
        <f t="shared" si="3"/>
        <v/>
      </c>
      <c r="J50" s="103"/>
    </row>
    <row r="51" spans="1:10" ht="120" customHeight="1" x14ac:dyDescent="0.45">
      <c r="A51" s="88"/>
      <c r="B51" s="107" t="s">
        <v>295</v>
      </c>
      <c r="C51" s="107" t="s">
        <v>145</v>
      </c>
      <c r="D51" s="109" t="str">
        <f>IF(AB_SN_Min_Year="N/A","N/A",IF(AB_SN_Max_Year=0,AB_SN_Min_Year, CONCATENATE(AB_SN_Min_Year," - ",AB_SN_Max_Year)))</f>
        <v>1991 - 2021</v>
      </c>
      <c r="E51" s="113" t="str">
        <f>IF(OR(E$44="Select X to Request All Files in Category",F$44="Select Start Year", G$44="Select End Year",F$44&gt;G$44, F$44&lt;AB_SN_Min_Year, F$44&gt;AB_SN_Max_Year, G$44&lt;AB_SN_Min_Year, G$44&gt;AB_SN_Max_Year, D51="N/A"),"",E$44)</f>
        <v/>
      </c>
      <c r="F51" s="114" t="str">
        <f>IF(OR(E$44="Select X to Request All Files in Category",F$44="Select Start Year",G$44="Select End Year",F$44&lt;AB_SN_Min_Year,F$44&gt;AB_SN_Max_Year,G$44&lt;AB_SN_Min_Year,G$44&gt;AB_SN_Max_Year,D51="N/A"),"",IF(F$44&gt;G$44,"Invalid year selections. Check the Start Year and End Year values",F$44))</f>
        <v/>
      </c>
      <c r="G51" s="114" t="str">
        <f>IF(OR(E$44="Select X to Request All Files in Category",F$44="Select Start Year",G$44="Select End Year",F$44&lt;AB_SN_Min_Year, F$44&gt;AB_SN_Max_Year, G$44&lt;AB_SN_Min_Year,G$44&gt;AB_SN_Max_Year, D51="N/A"),"",IF(F$44&gt;G$44,"Invalid year selections. Check the Start Year and End Year values",G$44))</f>
        <v/>
      </c>
      <c r="H51" s="111" t="str">
        <f t="shared" si="2"/>
        <v/>
      </c>
      <c r="I51" s="115" t="str">
        <f t="shared" si="3"/>
        <v/>
      </c>
      <c r="J51" s="103"/>
    </row>
    <row r="52" spans="1:10" ht="128.25" customHeight="1" x14ac:dyDescent="0.45">
      <c r="A52" s="88"/>
      <c r="B52" s="107" t="s">
        <v>508</v>
      </c>
      <c r="C52" s="107" t="s">
        <v>146</v>
      </c>
      <c r="D52" s="109" t="str">
        <f>IF(MedPAR_Min_Year="N/A","N/A",IF(MedPAR_Max_Year=0,MedPAR_Min_Year, CONCATENATE(MedPAR_Min_Year," - ",MedPAR_Max_Year)))</f>
        <v>1991 - 2020</v>
      </c>
      <c r="E52" s="113" t="str">
        <f>IF(OR(E$44="Select X to Request All Files in Category",F$44="Enter Start Year",G$44="Enter End Year",F$44&lt;Medicare_Claims_Data_Min_Year, F$44&gt;Medicare_Claims_Data_Max_Year,G$44&lt;Medicare_Claims_Data_Min_Year,G$44&gt;Medicare_Claims_Data_Max_Year,F$44&gt;G$44, D$52="N/A"),"",IF(F44&gt;MedPAR_Max_Year,"",E$44))</f>
        <v/>
      </c>
      <c r="F52" s="114" t="str">
        <f>IF(OR(E$44="Select X to Request All Files in Category", F$44="Enter Start Year", G$44="Enter End Year", F$44&lt;Medicare_Claims_Data_Min_Year, F$44&gt;Medicare_Claims_Data_Max_Year, G$44&lt;Medicare_Claims_Data_Min_Year, G$44&gt;Medicare_Claims_Data_Max_Year, D52="N/A"),"", IF(AND(F$44&gt;G$44, E$44="x"), "Invalid year(s) entered. Check the Start Year and End Year values.", IF(F$44&gt;MedPAR_Max_Year, "", F$44)))</f>
        <v/>
      </c>
      <c r="G52" s="114" t="str">
        <f>IF(OR(E$44="Select X to Request All Files in Category", F$44="Enter Start Year", G$44="Enter End Year", F$44&lt;Medicare_Claims_Data_Min_Year, F$44&gt;Medicare_Claims_Data_Max_Year, G$44&lt;Medicare_Claims_Data_Min_Year, G$44&gt;Medicare_Claims_Data_Max_Year,D52="N/A"),"", IF(AND(F$44&gt;G$44, E$44="x"),"Invalid year(s) entered. Check the Start Year and End Year values.", IF(F$44&gt;MedPAR_Max_Year,"", IF(G$44&gt;MedPAR_Max_Year, MedPAR_Max_Year, G$44))))</f>
        <v/>
      </c>
      <c r="H52" s="111" t="str">
        <f t="shared" si="2"/>
        <v/>
      </c>
      <c r="I52" s="115" t="str">
        <f t="shared" si="3"/>
        <v/>
      </c>
      <c r="J52" s="103"/>
    </row>
    <row r="53" spans="1:10" ht="55.4" customHeight="1" x14ac:dyDescent="0.45">
      <c r="A53" s="88"/>
      <c r="B53" s="116" t="s">
        <v>97</v>
      </c>
      <c r="C53" s="117"/>
      <c r="D53" s="89"/>
      <c r="E53" s="90"/>
      <c r="F53" s="90"/>
      <c r="G53" s="90"/>
      <c r="H53" s="89"/>
      <c r="I53" s="89"/>
      <c r="J53" s="88"/>
    </row>
    <row r="54" spans="1:10" ht="22.5" customHeight="1" x14ac:dyDescent="0.45">
      <c r="A54" s="88"/>
      <c r="B54" s="263" t="s">
        <v>469</v>
      </c>
      <c r="C54" s="264"/>
      <c r="D54" s="120"/>
      <c r="E54" s="120"/>
      <c r="F54" s="120"/>
      <c r="G54" s="120"/>
      <c r="H54" s="120"/>
      <c r="I54" s="121"/>
      <c r="J54" s="88"/>
    </row>
    <row r="55" spans="1:10" ht="40.15" customHeight="1" thickBot="1" x14ac:dyDescent="0.5">
      <c r="A55" s="88"/>
      <c r="B55" s="269" t="s">
        <v>477</v>
      </c>
      <c r="C55" s="271"/>
      <c r="D55" s="271"/>
      <c r="E55" s="271"/>
      <c r="F55" s="271"/>
      <c r="G55" s="271"/>
      <c r="H55" s="122"/>
      <c r="I55" s="123"/>
      <c r="J55" s="88"/>
    </row>
    <row r="56" spans="1:10" ht="80.150000000000006" customHeight="1" thickBot="1" x14ac:dyDescent="0.5">
      <c r="A56" s="88"/>
      <c r="B56" s="97" t="s">
        <v>20</v>
      </c>
      <c r="C56" s="98" t="s">
        <v>69</v>
      </c>
      <c r="D56" s="99" t="s">
        <v>1</v>
      </c>
      <c r="E56" s="100" t="s">
        <v>174</v>
      </c>
      <c r="F56" s="101" t="s">
        <v>171</v>
      </c>
      <c r="G56" s="101" t="s">
        <v>172</v>
      </c>
      <c r="H56" s="101" t="s">
        <v>605</v>
      </c>
      <c r="I56" s="102" t="s">
        <v>534</v>
      </c>
      <c r="J56" s="88"/>
    </row>
    <row r="57" spans="1:10" ht="100" customHeight="1" thickBot="1" x14ac:dyDescent="0.5">
      <c r="A57" s="88"/>
      <c r="B57" s="104"/>
      <c r="C57" s="105"/>
      <c r="D57" s="106"/>
      <c r="E57" s="223" t="s">
        <v>153</v>
      </c>
      <c r="F57" s="223" t="s">
        <v>260</v>
      </c>
      <c r="G57" s="223" t="s">
        <v>261</v>
      </c>
      <c r="H57" s="223" t="s">
        <v>604</v>
      </c>
      <c r="I57" s="224"/>
      <c r="J57" s="88"/>
    </row>
    <row r="58" spans="1:10" ht="128.15" customHeight="1" x14ac:dyDescent="0.45">
      <c r="A58" s="88"/>
      <c r="B58" s="107" t="s">
        <v>126</v>
      </c>
      <c r="C58" s="107" t="s">
        <v>409</v>
      </c>
      <c r="D58" s="109" t="str">
        <f>IF(C_Carrier_Min_Year="N/A","N/A",IF(C_Carrier_Max_Year=0,C_Carrier_Min_Year, CONCATENATE(C_Carrier_Min_Year," - ",C_Carrier_Max_Year)))</f>
        <v>2015 - 2019</v>
      </c>
      <c r="E58" s="113" t="str">
        <f>IF(OR(E$57="Select X to Request All Files in Category",F$57="Enter Start Year", G$57="Enter End Year",F$57&gt;G$57,F$57&lt;Part_C_Claims_Data_Min_Year, F$57&gt;Part_C_Claims_Data_Max_Year, G$57&lt;C_Carrier_Min_Year, G$57&gt;C_Carrier_Max_Year, D58="N/A"),"",E$57)</f>
        <v/>
      </c>
      <c r="F58" s="114" t="str">
        <f>IF(OR(E$57="Select X to Request All Files in Category",F$57="Enter Start Year",G$57="Enter End Year",F$57&lt;Part_C_Claims_Data_Min_Year, F$57&gt;Part_C_Claims_Data_Max_Year, G$57&lt;C_Carrier_Min_Year, G$57&gt;C_Carrier_Max_Year, D58="N/A"),"",IF(F$57&gt;G$57,"Invalid year selections. Check the Start Year and End Year values",F$57))</f>
        <v/>
      </c>
      <c r="G58" s="114" t="str">
        <f>IF(OR(E$57="Select X to Request All Files in Category",F$57="Enter Start Year",G$57="Enter End Year",F$57&lt;Part_C_Claims_Data_Min_Year, F$57&gt;Part_C_Claims_Data_Max_Year, G$57&lt;C_Carrier_Min_Year, G$57&gt;C_Carrier_Max_Year, D58="N/A"),"",IF(F$57&gt;G$57,"Invalid year selections. Check the Start Year and End Year values",G$57))</f>
        <v/>
      </c>
      <c r="H58" s="111" t="str">
        <f>IF(E58="x",IF(H$57="Select a Masking Level","",H$57),"")</f>
        <v/>
      </c>
      <c r="I58" s="115" t="str">
        <f>IF(E58="x",IF(I$57=0,"",I$57),"")</f>
        <v/>
      </c>
      <c r="J58" s="88"/>
    </row>
    <row r="59" spans="1:10" ht="128.15" customHeight="1" x14ac:dyDescent="0.45">
      <c r="A59" s="88"/>
      <c r="B59" s="107" t="s">
        <v>127</v>
      </c>
      <c r="C59" s="107" t="s">
        <v>410</v>
      </c>
      <c r="D59" s="109" t="str">
        <f>IF(C_DME_Min_Year="N/A","N/A",IF(C_DME_Max_Year=0,C_DME_Min_Year, CONCATENATE(C_DME_Min_Year," - ",C_DME_Max_Year)))</f>
        <v>2015 - 2019</v>
      </c>
      <c r="E59" s="113" t="str">
        <f>IF(OR(E$57="Select X to Request All Files in Category",F$57="Enter Start Year", G$57="Enter End Year",F$57&gt;G$57,F$57&lt;Part_C_Claims_Data_Min_Year, F$57&gt;Part_C_Claims_Data_Max_Year, G$57&lt;C_DME_Min_Year, G$57&gt;C_DME_Max_Year, D59="N/A"),"",E$57)</f>
        <v/>
      </c>
      <c r="F59" s="114" t="str">
        <f>IF(OR(E$57="Select X to Request All Files in Category",F$57="Enter Start Year",G$57="Enter End Year",F$57&lt;Part_C_Claims_Data_Min_Year, F$57&gt;Part_C_Claims_Data_Max_Year, G$57&lt;C_DME_Min_Year, G$57&gt;C_DME_Max_Year, D59="N/A"),"",IF(F$57&gt;G$57,"Invalid year selections. Check the Start Year and End Year values",F$57))</f>
        <v/>
      </c>
      <c r="G59" s="114" t="str">
        <f>IF(OR(E$57="Select X to Request All Files in Category",F$57="Enter Start Year",G$57="Enter End Year",F$57&lt;Part_C_Claims_Data_Min_Year, F$57&gt;Part_C_Claims_Data_Max_Year, G$57&lt;C_DME_Min_Year, G$57&gt;C_DME_Max_Year, D59="N/A"),"",IF(F$57&gt;G$57,"Invalid year selections. Check the Start Year and End Year values",G$57))</f>
        <v/>
      </c>
      <c r="H59" s="111" t="str">
        <f t="shared" ref="H59:H63" si="4">IF(E59="x",IF(H$57="Select a Masking Level","",H$57),"")</f>
        <v/>
      </c>
      <c r="I59" s="115" t="str">
        <f t="shared" ref="I59:I63" si="5">IF(E59="x",IF(I$57=0,"",I$57),"")</f>
        <v/>
      </c>
      <c r="J59" s="88"/>
    </row>
    <row r="60" spans="1:10" ht="128.15" customHeight="1" x14ac:dyDescent="0.45">
      <c r="A60" s="88"/>
      <c r="B60" s="107" t="s">
        <v>128</v>
      </c>
      <c r="C60" s="107" t="s">
        <v>411</v>
      </c>
      <c r="D60" s="109" t="str">
        <f>IF(C_HH_Min_Year="N/A","N/A",IF(C_HH_Max_Year=0,C_HH_Min_Year, CONCATENATE(C_HH_Min_Year," - ",C_HH_Max_Year)))</f>
        <v>2015 - 2019</v>
      </c>
      <c r="E60" s="113" t="str">
        <f>IF(OR(E$57="Select X to Request All Files in Category",F$57="Enter Start Year", G$57="Enter End Year",F$57&gt;G$57,F$57&lt;Part_C_Claims_Data_Min_Year, F$57&gt;Part_C_Claims_Data_Max_Year, G$57&lt;C_HH_Min_Year, G$57&gt;C_HH_Max_Year, D60="N/A"),"",E$57)</f>
        <v/>
      </c>
      <c r="F60" s="114" t="str">
        <f>IF(OR(E$57="Select X to Request All Files in Category",F$57="Enter Start Year",G$57="Enter End Year",F$57&lt;Part_C_Claims_Data_Min_Year, F$57&gt;Part_C_Claims_Data_Max_Year, G$57&lt;C_HH_Min_Year, G$57&gt;C_HH_Max_Year, D60="N/A"),"",IF(F$57&gt;G$57,"Invalid year selections. Check the Start Year and End Year values",F$57))</f>
        <v/>
      </c>
      <c r="G60" s="114" t="str">
        <f>IF(OR(E$57="Select X to Request All Files in Category",F$57="Enter Start Year",G$57="Enter End Year",F$57&lt;Part_C_Claims_Data_Min_Year, F$57&gt;Part_C_Claims_Data_Max_Year, G$57&lt;C_HH_Min_Year, G$57&gt;C_HH_Max_Year, D60="N/A"),"",IF(F$57&gt;G$57,"Invalid year selections. Check the Start Year and End Year values",G$57))</f>
        <v/>
      </c>
      <c r="H60" s="111" t="str">
        <f t="shared" si="4"/>
        <v/>
      </c>
      <c r="I60" s="115" t="str">
        <f t="shared" si="5"/>
        <v/>
      </c>
      <c r="J60" s="88"/>
    </row>
    <row r="61" spans="1:10" ht="128.15" customHeight="1" x14ac:dyDescent="0.45">
      <c r="A61" s="88"/>
      <c r="B61" s="107" t="s">
        <v>129</v>
      </c>
      <c r="C61" s="107" t="s">
        <v>412</v>
      </c>
      <c r="D61" s="109" t="str">
        <f>IF(C_IP_Min_Year="N/A","N/A",IF(C_IP_Max_Year=0,C_IP_Min_Year, CONCATENATE(C_IP_Min_Year," - ",C_IP_Max_Year)))</f>
        <v>2015 - 2019</v>
      </c>
      <c r="E61" s="113" t="str">
        <f>IF(OR(E$57="Select X to Request All Files in Category",F$57="Enter Start Year", G$57="Enter End Year",F$57&gt;G$57,F$57&lt;Part_C_Claims_Data_Min_Year, F$57&gt;Part_C_Claims_Data_Max_Year, G$57&lt;C_IP_Min_Year, G$57&gt;C_IP_Max_Year, D61="N/A"),"",E$57)</f>
        <v/>
      </c>
      <c r="F61" s="114" t="str">
        <f>IF(OR(E$57="Select X to Request All Files in Category",F$57="Enter Start Year",G$57="Enter End Year",F$57&lt;Part_C_Claims_Data_Min_Year, F$57&gt;Part_C_Claims_Data_Max_Year, G$57&lt;C_IP_Min_Year, G$57&gt;C_IP_Max_Year, D61="N/A"),"",IF(F$57&gt;G$57,"Invalid year selections. Check the Start Year and End Year values",F$57))</f>
        <v/>
      </c>
      <c r="G61" s="114" t="str">
        <f>IF(OR(E$57="Select X to Request All Files in Category",F$57="Enter Start Year",G$57="Enter End Year",F$57&lt;Part_C_Claims_Data_Min_Year, F$57&gt;Part_C_Claims_Data_Max_Year, G$57&lt;C_IP_Min_Year, G$57&gt;C_IP_Max_Year, D61="N/A"),"",IF(F$57&gt;G$57,"Invalid year selections. Check the Start Year and End Year values",G$57))</f>
        <v/>
      </c>
      <c r="H61" s="111" t="str">
        <f t="shared" si="4"/>
        <v/>
      </c>
      <c r="I61" s="115" t="str">
        <f t="shared" si="5"/>
        <v/>
      </c>
      <c r="J61" s="88"/>
    </row>
    <row r="62" spans="1:10" ht="128.15" customHeight="1" x14ac:dyDescent="0.45">
      <c r="A62" s="88"/>
      <c r="B62" s="107" t="s">
        <v>130</v>
      </c>
      <c r="C62" s="107" t="s">
        <v>413</v>
      </c>
      <c r="D62" s="109" t="str">
        <f>IF(C_OP_Min_Year="N/A","N/A",IF(C_OP_Max_Year=0,C_OP_Min_Year, CONCATENATE(C_OP_Min_Year," - ",C_OP_Max_Year)))</f>
        <v>2015 - 2019</v>
      </c>
      <c r="E62" s="113" t="str">
        <f>IF(OR(E$57="Select X to Request All Files in Category",F$57="Enter Start Year", G$57="Enter End Year",F$57&gt;G$57,F$57&lt;Part_C_Claims_Data_Min_Year, F$57&gt;Part_C_Claims_Data_Max_Year, G$57&lt;C_OP_Min_Year, G$57&gt;C_OP_Max_Year, D62="N/A"),"",E$57)</f>
        <v/>
      </c>
      <c r="F62" s="114" t="str">
        <f>IF(OR(E$57="Select X to Request All Files in Category",F$57="Enter Start Year",G$57="Enter End Year",F$57&lt;Part_C_Claims_Data_Min_Year, F$57&gt;Part_C_Claims_Data_Max_Year, G$57&lt;C_OP_Min_Year, G$57&gt;C_OP_Max_Year, D62="N/A"),"",IF(F$57&gt;G$57,"Invalid year selections. Check the Start Year and End Year values",F$57))</f>
        <v/>
      </c>
      <c r="G62" s="114" t="str">
        <f>IF(OR(E$57="Select X to Request All Files in Category",F$57="Enter Start Year",G$57="Enter End Year",F$57&lt;Part_C_Claims_Data_Min_Year, F$57&gt;Part_C_Claims_Data_Max_Year, G$57&lt;C_OP_Min_Year, G$57&gt;C_OP_Max_Year, D62="N/A"),"",IF(F$57&gt;G$57,"Invalid year selections. Check the Start Year and End Year values",G$57))</f>
        <v/>
      </c>
      <c r="H62" s="111" t="str">
        <f t="shared" si="4"/>
        <v/>
      </c>
      <c r="I62" s="115" t="str">
        <f t="shared" si="5"/>
        <v/>
      </c>
      <c r="J62" s="88"/>
    </row>
    <row r="63" spans="1:10" ht="128.15" customHeight="1" x14ac:dyDescent="0.45">
      <c r="A63" s="88"/>
      <c r="B63" s="107" t="s">
        <v>131</v>
      </c>
      <c r="C63" s="107" t="s">
        <v>414</v>
      </c>
      <c r="D63" s="109" t="str">
        <f>IF(C_SNF_Min_Year="N/A","N/A",IF(C_SNF_Max_Year=0,C_SNF_Min_Year, CONCATENATE(C_SNF_Min_Year," - ",C_SNF_Max_Year)))</f>
        <v>2015 - 2019</v>
      </c>
      <c r="E63" s="113" t="str">
        <f>IF(OR(E$57="Select X to Request All Files in Category",F$57="Enter Start Year", G$57="Enter End Year",F$57&gt;G$57,F$57&lt;Part_C_Claims_Data_Min_Year, F$57&gt;Part_C_Claims_Data_Max_Year, G$57&lt;C_SNF_Min_Year, G$57&gt;C_SNF_Max_Year, D63="N/A"),"",E$57)</f>
        <v/>
      </c>
      <c r="F63" s="114" t="str">
        <f>IF(OR(E$57="Select X to Request All Files in Category",F$57="Enter Start Year",G$57="Enter End Year",F$57&lt;Part_C_Claims_Data_Min_Year, F$57&gt;Part_C_Claims_Data_Max_Year, G$57&lt;C_SNF_Min_Year, G$57&gt;C_SNF_Max_Year, D63="N/A"),"",IF(F$57&gt;G$57,"Invalid year selections. Check the Start Year and End Year values",F$57))</f>
        <v/>
      </c>
      <c r="G63" s="114" t="str">
        <f>IF(OR(E$57="Select X to Request All Files in Category",F$57="Enter Start Year",G$57="Enter End Year",F$57&lt;Part_C_Claims_Data_Min_Year, F$57&gt;Part_C_Claims_Data_Max_Year, G$57&lt;C_SNF_Min_Year, G$57&gt;C_SNF_Max_Year, D63="N/A"),"",IF(F$57&gt;G$57,"Invalid year selections. Check the Start Year and End Year values",G$57))</f>
        <v/>
      </c>
      <c r="H63" s="111" t="str">
        <f t="shared" si="4"/>
        <v/>
      </c>
      <c r="I63" s="115" t="str">
        <f t="shared" si="5"/>
        <v/>
      </c>
      <c r="J63" s="88"/>
    </row>
    <row r="64" spans="1:10" ht="55.4" customHeight="1" x14ac:dyDescent="0.45">
      <c r="A64" s="88"/>
      <c r="B64" s="116" t="s">
        <v>97</v>
      </c>
      <c r="C64" s="117"/>
      <c r="D64" s="89"/>
      <c r="E64" s="90"/>
      <c r="F64" s="90"/>
      <c r="G64" s="90"/>
      <c r="H64" s="89"/>
      <c r="I64" s="89"/>
      <c r="J64" s="88"/>
    </row>
    <row r="65" spans="1:10" ht="22.5" customHeight="1" x14ac:dyDescent="0.45">
      <c r="A65" s="88"/>
      <c r="B65" s="91" t="s">
        <v>470</v>
      </c>
      <c r="C65" s="128"/>
      <c r="D65" s="128"/>
      <c r="E65" s="128"/>
      <c r="F65" s="128"/>
      <c r="G65" s="128"/>
      <c r="H65" s="128"/>
      <c r="I65" s="129"/>
      <c r="J65" s="88"/>
    </row>
    <row r="66" spans="1:10" s="20" customFormat="1" ht="40.4" customHeight="1" thickBot="1" x14ac:dyDescent="0.5">
      <c r="A66" s="141"/>
      <c r="B66" s="269" t="s">
        <v>478</v>
      </c>
      <c r="C66" s="272"/>
      <c r="D66" s="272"/>
      <c r="E66" s="272"/>
      <c r="F66" s="272"/>
      <c r="G66" s="272"/>
      <c r="H66" s="273"/>
      <c r="I66" s="274"/>
      <c r="J66" s="141"/>
    </row>
    <row r="67" spans="1:10" ht="80.25" customHeight="1" thickBot="1" x14ac:dyDescent="0.5">
      <c r="A67" s="88"/>
      <c r="B67" s="97" t="s">
        <v>20</v>
      </c>
      <c r="C67" s="98" t="s">
        <v>69</v>
      </c>
      <c r="D67" s="99" t="s">
        <v>1</v>
      </c>
      <c r="E67" s="100" t="s">
        <v>175</v>
      </c>
      <c r="F67" s="101" t="s">
        <v>171</v>
      </c>
      <c r="G67" s="101" t="s">
        <v>172</v>
      </c>
      <c r="H67" s="101" t="s">
        <v>605</v>
      </c>
      <c r="I67" s="102" t="s">
        <v>535</v>
      </c>
      <c r="J67" s="124"/>
    </row>
    <row r="68" spans="1:10" ht="100.4" customHeight="1" thickBot="1" x14ac:dyDescent="0.5">
      <c r="A68" s="88"/>
      <c r="B68" s="104"/>
      <c r="C68" s="105"/>
      <c r="D68" s="106"/>
      <c r="E68" s="223" t="s">
        <v>153</v>
      </c>
      <c r="F68" s="223" t="s">
        <v>260</v>
      </c>
      <c r="G68" s="223" t="s">
        <v>261</v>
      </c>
      <c r="H68" s="223" t="s">
        <v>604</v>
      </c>
      <c r="I68" s="224"/>
      <c r="J68" s="124"/>
    </row>
    <row r="69" spans="1:10" ht="128.25" customHeight="1" x14ac:dyDescent="0.45">
      <c r="A69" s="88"/>
      <c r="B69" s="107" t="s">
        <v>103</v>
      </c>
      <c r="C69" s="107" t="s">
        <v>104</v>
      </c>
      <c r="D69" s="109" t="str">
        <f>IF(MTM_Min_Year="N/A","N/A",IF(MTM_Max_Year=0,MTM_Min_Year, CONCATENATE(MTM_Min_Year," - ",MTM_Max_Year)))</f>
        <v>N/A</v>
      </c>
      <c r="E69" s="113" t="str">
        <f>IF(OR(E$68="Select X to Request All Files in Category",F$68="Enter Start Year", G68="Enter End Year",F$68&gt;G$68,F$68&lt;MTM_Min_Year,F$68&gt;MTM_Max_Year,G$68&lt;MTM_Min_Year,G$68&gt;MTM_Max_Year, D69="N/A"),"",E$68)</f>
        <v/>
      </c>
      <c r="F69" s="114" t="str">
        <f>IF(OR(E$68="Select X to Request All Files in Category",F$68="Enter Start Year",G$68="Enter End Year", F$68&lt;MTM_Min_Year,F$68&gt;MTM_Max_Year,G$68&lt;MTM_Min_Year,G$68&gt;MTM_Max_Year, D69="N/A"),"",IF(F$68&gt;G$68,"Invalid year selections. Check the Start Year and End Year values",F$68))</f>
        <v/>
      </c>
      <c r="G69" s="114" t="str">
        <f>IF(OR(E$68="Select X to Request All Files in Category",F$68="Enter Start Year",G$68="Enter End Year",F$68&lt;MTM_Min_Year,F$68&gt;MTM_Max_Year,G$68&lt;MTM_Min_Year,G$68&gt;MTM_Max_Year, D69="N/A"),"",IF(F$68&gt;G$68,"Invalid year selections. Check the Start Year and End Year values",G$68))</f>
        <v/>
      </c>
      <c r="H69" s="111" t="str">
        <f>IF(E69="x",IF(H$68="Select an Encryption Level","",H$68),"")</f>
        <v/>
      </c>
      <c r="I69" s="115" t="str">
        <f>IF(E69="x",IF(I$68=0,"",I$68),"")</f>
        <v/>
      </c>
      <c r="J69" s="124"/>
    </row>
    <row r="70" spans="1:10" ht="55.4" customHeight="1" x14ac:dyDescent="0.45">
      <c r="A70" s="88"/>
      <c r="B70" s="116" t="s">
        <v>97</v>
      </c>
      <c r="C70" s="117"/>
      <c r="D70" s="89"/>
      <c r="E70" s="90"/>
      <c r="F70" s="90"/>
      <c r="G70" s="90"/>
      <c r="H70" s="89"/>
      <c r="I70" s="89"/>
      <c r="J70" s="88"/>
    </row>
    <row r="71" spans="1:10" ht="22.5" customHeight="1" x14ac:dyDescent="0.45">
      <c r="A71" s="88"/>
      <c r="B71" s="91" t="s">
        <v>470</v>
      </c>
      <c r="C71" s="128"/>
      <c r="D71" s="128"/>
      <c r="E71" s="128"/>
      <c r="F71" s="128"/>
      <c r="G71" s="128"/>
      <c r="H71" s="128"/>
      <c r="I71" s="129"/>
      <c r="J71" s="88"/>
    </row>
    <row r="72" spans="1:10" s="20" customFormat="1" ht="40.4" customHeight="1" thickBot="1" x14ac:dyDescent="0.5">
      <c r="A72" s="141"/>
      <c r="B72" s="269" t="s">
        <v>596</v>
      </c>
      <c r="C72" s="272"/>
      <c r="D72" s="272"/>
      <c r="E72" s="272"/>
      <c r="F72" s="272"/>
      <c r="G72" s="272"/>
      <c r="H72" s="273"/>
      <c r="I72" s="274"/>
      <c r="J72" s="141"/>
    </row>
    <row r="73" spans="1:10" ht="80.25" customHeight="1" thickBot="1" x14ac:dyDescent="0.5">
      <c r="A73" s="88"/>
      <c r="B73" s="97" t="s">
        <v>20</v>
      </c>
      <c r="C73" s="98" t="s">
        <v>69</v>
      </c>
      <c r="D73" s="99" t="s">
        <v>1</v>
      </c>
      <c r="E73" s="100" t="s">
        <v>597</v>
      </c>
      <c r="F73" s="101" t="s">
        <v>171</v>
      </c>
      <c r="G73" s="101" t="s">
        <v>172</v>
      </c>
      <c r="H73" s="101" t="s">
        <v>605</v>
      </c>
      <c r="I73" s="102" t="s">
        <v>606</v>
      </c>
      <c r="J73" s="124"/>
    </row>
    <row r="74" spans="1:10" ht="100.4" customHeight="1" thickBot="1" x14ac:dyDescent="0.5">
      <c r="A74" s="88"/>
      <c r="B74" s="104"/>
      <c r="C74" s="105"/>
      <c r="D74" s="106"/>
      <c r="E74" s="223" t="s">
        <v>153</v>
      </c>
      <c r="F74" s="223" t="s">
        <v>260</v>
      </c>
      <c r="G74" s="223" t="s">
        <v>261</v>
      </c>
      <c r="H74" s="223" t="s">
        <v>604</v>
      </c>
      <c r="I74" s="224"/>
      <c r="J74" s="124"/>
    </row>
    <row r="75" spans="1:10" ht="128.25" customHeight="1" x14ac:dyDescent="0.45">
      <c r="A75" s="88"/>
      <c r="B75" s="107" t="s">
        <v>105</v>
      </c>
      <c r="C75" s="107" t="s">
        <v>608</v>
      </c>
      <c r="D75" s="109" t="str">
        <f>IF(PDE_Min_Year="N/A","N/A",IF(PDE_Max_Year=0,PDE_Min_Year, CONCATENATE(PDE_Min_Year," - ",PDE_Max_Year)))</f>
        <v>2006 - 2021</v>
      </c>
      <c r="E75" s="113" t="str">
        <f>IF(OR(E$74="Select X to Request All Files in Category",F$74="Enter Start Year", G74="Enter End Year",F$74&gt;G$74,F$74&lt;PDE_Min_Year,F$74&gt;PDE_Max_Year,G$74&lt;PDE_Min_Year,G$74&gt;PDE_Max_Year, D75="N/A"),"",E$74)</f>
        <v/>
      </c>
      <c r="F75" s="114" t="str">
        <f>IF(OR(E$74="Select X to Request All Files in Category",F$74="Enter Start Year",G$74="Enter End Year", F$74&lt;PDE_Min_Year,F$74&gt;PDE_Max_Year,G$74&lt;PDE_Min_Year,G$74&gt;PDE_Max_Year, D75="N/A"),"",IF(F$74&gt;G$74,"Invalid year selections. Check the Start Year and End Year values",F$74))</f>
        <v/>
      </c>
      <c r="G75" s="114" t="str">
        <f>IF(OR(E$74="Select X to Request All Files in Category",F$74="Enter Start Year",G$74="Enter End Year",F$74&lt;PDE_Min_Year,F$74&gt;PDE_Max_Year,G$74&lt;PDE_Min_Year,G$74&gt;PDE_Max_Year, D75="N/A"),"",IF(F$74&gt;G$74,"Invalid year selections. Check the Start Year and End Year values",G$74))</f>
        <v/>
      </c>
      <c r="H75" s="111" t="str">
        <f>IF(E75="x",IF(H$74="Select a Masking Level","",H$74),"")</f>
        <v/>
      </c>
      <c r="I75" s="115" t="str">
        <f>IF(E75="x",IF(I$74=0,"",I$74),"")</f>
        <v/>
      </c>
      <c r="J75" s="124"/>
    </row>
    <row r="76" spans="1:10" ht="55.4" customHeight="1" x14ac:dyDescent="0.45">
      <c r="A76" s="88"/>
      <c r="B76" s="116" t="s">
        <v>97</v>
      </c>
      <c r="C76" s="117"/>
      <c r="D76" s="89"/>
      <c r="E76" s="90"/>
      <c r="F76" s="90"/>
      <c r="G76" s="90"/>
      <c r="H76" s="89"/>
      <c r="I76" s="89"/>
      <c r="J76" s="88"/>
    </row>
    <row r="77" spans="1:10" ht="22.5" customHeight="1" x14ac:dyDescent="0.45">
      <c r="A77" s="88"/>
      <c r="B77" s="91" t="s">
        <v>161</v>
      </c>
      <c r="C77" s="128"/>
      <c r="D77" s="128"/>
      <c r="E77" s="128"/>
      <c r="F77" s="128"/>
      <c r="G77" s="128"/>
      <c r="H77" s="128"/>
      <c r="I77" s="129"/>
      <c r="J77" s="88"/>
    </row>
    <row r="78" spans="1:10" ht="34.15" customHeight="1" x14ac:dyDescent="0.45">
      <c r="A78" s="88"/>
      <c r="B78" s="261" t="s">
        <v>509</v>
      </c>
      <c r="C78" s="262"/>
      <c r="D78" s="262"/>
      <c r="E78" s="262"/>
      <c r="F78" s="262"/>
      <c r="G78" s="262"/>
      <c r="H78" s="130"/>
      <c r="I78" s="131"/>
      <c r="J78" s="88"/>
    </row>
    <row r="79" spans="1:10" ht="46.15" customHeight="1" thickBot="1" x14ac:dyDescent="0.5">
      <c r="A79" s="88"/>
      <c r="B79" s="269" t="s">
        <v>479</v>
      </c>
      <c r="C79" s="271"/>
      <c r="D79" s="271"/>
      <c r="E79" s="271"/>
      <c r="F79" s="271"/>
      <c r="G79" s="271"/>
      <c r="H79" s="122"/>
      <c r="I79" s="123"/>
      <c r="J79" s="88"/>
    </row>
    <row r="80" spans="1:10" ht="80.25" customHeight="1" thickBot="1" x14ac:dyDescent="0.5">
      <c r="A80" s="88"/>
      <c r="B80" s="97" t="s">
        <v>20</v>
      </c>
      <c r="C80" s="98" t="s">
        <v>69</v>
      </c>
      <c r="D80" s="99" t="s">
        <v>1</v>
      </c>
      <c r="E80" s="100" t="s">
        <v>176</v>
      </c>
      <c r="F80" s="101" t="s">
        <v>171</v>
      </c>
      <c r="G80" s="101" t="s">
        <v>172</v>
      </c>
      <c r="H80" s="101" t="s">
        <v>605</v>
      </c>
      <c r="I80" s="102" t="s">
        <v>536</v>
      </c>
      <c r="J80" s="124"/>
    </row>
    <row r="81" spans="1:10" ht="100.4" customHeight="1" thickBot="1" x14ac:dyDescent="0.5">
      <c r="A81" s="88"/>
      <c r="B81" s="104"/>
      <c r="C81" s="105"/>
      <c r="D81" s="106"/>
      <c r="E81" s="223" t="s">
        <v>153</v>
      </c>
      <c r="F81" s="223" t="s">
        <v>74</v>
      </c>
      <c r="G81" s="223" t="s">
        <v>75</v>
      </c>
      <c r="H81" s="223" t="s">
        <v>604</v>
      </c>
      <c r="I81" s="224"/>
      <c r="J81" s="124"/>
    </row>
    <row r="82" spans="1:10" ht="128.25" customHeight="1" x14ac:dyDescent="0.45">
      <c r="A82" s="88"/>
      <c r="B82" s="107" t="s">
        <v>109</v>
      </c>
      <c r="C82" s="107" t="s">
        <v>140</v>
      </c>
      <c r="D82" s="109" t="str">
        <f>IF(MAX_IP_Min_Year="N/A","N/A",IF(MAX_IP_Max_Year=0,MAX_IP_Min_Year, CONCATENATE(MAX_IP_Min_Year," - ",MAX_IP_Max_Year)))</f>
        <v>2006 - 2015</v>
      </c>
      <c r="E82" s="113" t="str">
        <f>IF(OR(E$81="Select X to Request All Files in Category", F$81="Enter Start Year", G$81="Enter End Year", F$81&lt;Medicaid_Claims_Data_Min_Year, F$81&gt;Medicaid_Claims_Data_Max_Year, G$81&lt;Medicaid_Claims_Data_Min_Year, G$81&gt;Medicaid_Claims_Data_Max_Year, F$81&gt;G$81, D$82="N/A"),"",IF(F$81&gt;MAX_IP_Max_Year,"",E$81))</f>
        <v/>
      </c>
      <c r="F82" s="114" t="str">
        <f>IF(OR(E$81="Select X to Request All Files in Category", F$81="Enter Start Year", G$81="Enter End Year", F$81&lt;Medicaid_Claims_Data_Min_Year, F$81&gt;Medicaid_Claims_Data_Max_Year, G$81&lt;Medicaid_Claims_Data_Min_Year, G$81&gt;Medicaid_Claims_Data_Max_Year, D82="N/A"),"",IF(AND(F$81&gt;G$81,E$81="x"),"Invalid year(s) entered. Check the Start Year and End Year values.", IF(F$81&gt;MAX_IP_Max_Year, "", F$81)))</f>
        <v/>
      </c>
      <c r="G82" s="114" t="str">
        <f>IF(OR(E$81="Select X to Request All Files in Category", F$81="Enter Start Year", G$81="Enter End Year", F$81&lt;Medicaid_Claims_Data_Min_Year, F$81&gt;Medicaid_Claims_Data_Max_Year, G$81&lt;Medicaid_Claims_Data_Min_Year, G$81&gt;Medicaid_Claims_Data_Max_Year, D82="N/A"),"",IF(AND(F$81&gt;G$81,E$81="x"), "Invalid year(s) entered. Check the Start Year and End Year values.", IF(F$81&gt;MAX_IP_Max_Year,"", IF(G$81&gt;=MAX_IP_Max_Year, MAX_IP_Max_Year, G$81))))</f>
        <v/>
      </c>
      <c r="H82" s="111" t="str">
        <f>IF(E82="x",IF(H$81="Select a Masking Level","",H$81),"")</f>
        <v/>
      </c>
      <c r="I82" s="115" t="str">
        <f>IF(E82="x",IF(I$81=0,"",I$81),"")</f>
        <v/>
      </c>
      <c r="J82" s="124"/>
    </row>
    <row r="83" spans="1:10" ht="128.25" customHeight="1" x14ac:dyDescent="0.45">
      <c r="A83" s="88"/>
      <c r="B83" s="107" t="s">
        <v>110</v>
      </c>
      <c r="C83" s="107" t="s">
        <v>141</v>
      </c>
      <c r="D83" s="109" t="str">
        <f>IF(MAX_LT_Min_Year="N/A","N/A",IF(MAX_LT_Max_Year=0,MAX_LT_Min_Year, CONCATENATE(MAX_LT_Min_Year," - ",MAX_LT_Max_Year)))</f>
        <v>2006 - 2015</v>
      </c>
      <c r="E83" s="113" t="str">
        <f>IF(OR(E$81="Select X to Request All Files in Category", F$81="Enter Start Year", G$81="Enter End Year", F$81&lt;Medicaid_Claims_Data_Min_Year, F$81&gt;Medicaid_Claims_Data_Max_Year, G$81&lt;Medicaid_Claims_Data_Min_Year, G$81&gt;Medicaid_Claims_Data_Max_Year, F$81&gt;G$81, D$83="N/A"),"",IF(F$81&gt;MAX_LT_Max_Year,"",E$81))</f>
        <v/>
      </c>
      <c r="F83" s="114" t="str">
        <f>IF(OR(E$81="Select X to Request All Files in Category", F$81="Enter Start Year", G$81="Enter End Year", F$81&lt;Medicaid_Claims_Data_Min_Year, F$81&gt;Medicaid_Claims_Data_Max_Year, G$81&lt;Medicaid_Claims_Data_Min_Year, G$81&gt;Medicaid_Claims_Data_Max_Year, D83="N/A"),"",IF(AND(F$81&gt;G$81,E$81="x"),"Invalid year(s) entered. Check the Start Year and End Year values.", IF(F$81&gt;MAX_LT_Max_Year, "", F$81)))</f>
        <v/>
      </c>
      <c r="G83" s="114" t="str">
        <f>IF(OR(E$81="Select X to Request All Files in Category", F$81="Enter Start Year", G$81="Enter End Year", F$81&lt;Medicaid_Claims_Data_Min_Year, F$81&gt;Medicaid_Claims_Data_Max_Year, G$81&lt;Medicaid_Claims_Data_Min_Year, G$81&gt;Medicaid_Claims_Data_Max_Year, D83="N/A"),"",IF(AND(F$81&gt;G$81,E$81="x"), "Invalid year(s) entered. Check the Start Year and End Year values.", IF(F$81&gt;MAX_LT_Max_Year,"", IF(G$81&gt;=MAX_LT_Max_Year, MAX_LT_Max_Year, G$81))))</f>
        <v/>
      </c>
      <c r="H83" s="111" t="str">
        <f t="shared" ref="H83:H89" si="6">IF(E83="x",IF(H$81="Select a Masking Level","",H$81),"")</f>
        <v/>
      </c>
      <c r="I83" s="115" t="str">
        <f t="shared" ref="I83:I85" si="7">IF(E83="x",IF(I$81=0,"",I$81),"")</f>
        <v/>
      </c>
      <c r="J83" s="124"/>
    </row>
    <row r="84" spans="1:10" ht="128.25" customHeight="1" x14ac:dyDescent="0.45">
      <c r="A84" s="88"/>
      <c r="B84" s="107" t="s">
        <v>111</v>
      </c>
      <c r="C84" s="107" t="s">
        <v>142</v>
      </c>
      <c r="D84" s="109" t="str">
        <f>IF(MAX_OT_Min_Year="N/A","N/A",IF(MAX_OT_Max_Year=0,MAX_OT_Min_Year, CONCATENATE(MAX_OT_Min_Year," - ",MAX_OT_Max_Year)))</f>
        <v>2006 - 2015</v>
      </c>
      <c r="E84" s="113" t="str">
        <f>IF(OR(E$81="Select X to Request All Files in Category", F$81="Enter Start Year", G$81="Enter End Year", F$81&lt;Medicaid_Claims_Data_Min_Year, F$81&gt;Medicaid_Claims_Data_Max_Year, G$81&lt;Medicaid_Claims_Data_Min_Year, G$81&gt;Medicaid_Claims_Data_Max_Year, F$81&gt;G$81, D$84="N/A"),"",IF(F$81&gt;MAX_OT_Max_Year,"",E$81))</f>
        <v/>
      </c>
      <c r="F84" s="114" t="str">
        <f>IF(OR(E$81="Select X to Request All Files in Category", F$81="Enter Start Year", G$81="Enter End Year", F$81&lt;Medicaid_Claims_Data_Min_Year, F$81&gt;Medicaid_Claims_Data_Max_Year, G$81&lt;Medicaid_Claims_Data_Min_Year, G$81&gt;Medicaid_Claims_Data_Max_Year, D84="N/A"),"",IF(AND(F$81&gt;G$81,E$81="x"),"Invalid year(s) entered. Check the Start Year and End Year values.", IF(F$81&gt;MAX_OT_Max_Year, "", F$81)))</f>
        <v/>
      </c>
      <c r="G84" s="114" t="str">
        <f>IF(OR(E$81="Select X to Request All Files in Category", F$81="Enter Start Year", G$81="Enter End Year", F$81&lt;Medicaid_Claims_Data_Min_Year, F$81&gt;Medicaid_Claims_Data_Max_Year, G$81&lt;Medicaid_Claims_Data_Min_Year, G$81&gt;Medicaid_Claims_Data_Max_Year, D84="N/A"),"",IF(AND(F$81&gt;G$81,E$81="x"), "Invalid year(s) entered. Check the Start Year and End Year values.", IF(F$81&gt;MAX_OT_Max_Year,"", IF(G$81&gt;=MAX_OT_Max_Year, MAX_OT_Max_Year, G$81))))</f>
        <v/>
      </c>
      <c r="H84" s="111" t="str">
        <f t="shared" si="6"/>
        <v/>
      </c>
      <c r="I84" s="115" t="str">
        <f t="shared" si="7"/>
        <v/>
      </c>
      <c r="J84" s="124"/>
    </row>
    <row r="85" spans="1:10" ht="128.25" customHeight="1" x14ac:dyDescent="0.45">
      <c r="A85" s="88"/>
      <c r="B85" s="107" t="s">
        <v>114</v>
      </c>
      <c r="C85" s="107" t="s">
        <v>115</v>
      </c>
      <c r="D85" s="109" t="str">
        <f>IF(MAX_RX_Min_Year="N/A","N/A",IF(MAX_RX_Max_Year=0,MAX_RX_Min_Year, CONCATENATE(MAX_RX_Min_Year," - ",MAX_RX_Max_Year)))</f>
        <v>2006 - 2015</v>
      </c>
      <c r="E85" s="113" t="str">
        <f>IF(OR(E$81="Select X to Request All Files in Category", F$81="Enter Start Year", G$81="Enter End Year", F$81&lt;Medicaid_Claims_Data_Min_Year, F$81&gt;Medicaid_Claims_Data_Max_Year, G$81&lt;Medicaid_Claims_Data_Min_Year, G$81&gt;Medicaid_Claims_Data_Max_Year, F$81&gt;G$81, D$85="N/A"),"",IF(F$81&gt;MAX_RX_Max_Year,"",E$81))</f>
        <v/>
      </c>
      <c r="F85" s="114" t="str">
        <f>IF(OR(E$81="Select X to Request All Files in Category", F$81="Enter Start Year", G$81="Enter End Year", F$81&lt;Medicaid_Claims_Data_Min_Year, F$81&gt;Medicaid_Claims_Data_Max_Year, G$81&lt;Medicaid_Claims_Data_Min_Year, G$81&gt;Medicaid_Claims_Data_Max_Year, D85="N/A"),"",IF(AND(F$81&gt;G$81,E$81="x"),"Invalid year(s) entered. Check the Start Year and End Year values.", IF(F$81&gt;MAX_RX_Max_Year, "", F$81)))</f>
        <v/>
      </c>
      <c r="G85" s="114" t="str">
        <f>IF(OR(E$81="Select X to Request All Files in Category", F$81="Enter Start Year", G$81="Enter End Year", F$81&lt;Medicaid_Claims_Data_Min_Year, F$81&gt;Medicaid_Claims_Data_Max_Year, G$81&lt;Medicaid_Claims_Data_Min_Year, G$81&gt;Medicaid_Claims_Data_Max_Year, D85="N/A"),"",IF(AND(F$81&gt;G$81,E$81="x"), "Invalid year(s) entered. Check the Start Year and End Year values.", IF(F$81&gt;MAX_RX_Max_Year,"", IF(G$81&gt;=MAX_RX_Max_Year, MAX_RX_Max_Year, G$81))))</f>
        <v/>
      </c>
      <c r="H85" s="111" t="str">
        <f t="shared" si="6"/>
        <v/>
      </c>
      <c r="I85" s="115" t="str">
        <f t="shared" si="7"/>
        <v/>
      </c>
      <c r="J85" s="124"/>
    </row>
    <row r="86" spans="1:10" ht="128.25" customHeight="1" x14ac:dyDescent="0.45">
      <c r="A86" s="88"/>
      <c r="B86" s="107" t="s">
        <v>134</v>
      </c>
      <c r="C86" s="107" t="s">
        <v>415</v>
      </c>
      <c r="D86" s="109" t="str">
        <f>IF(TMSIS_IP_Min_Year="N/A","N/A",IF(TMSIS_IP_Max_Year=0, TMSIS_IP_Min_Year, CONCATENATE(TMSIS_IP_Min_Year," - ",TMSIS_IP_Max_Year)))</f>
        <v>2014 - 2019</v>
      </c>
      <c r="E86" s="113" t="str">
        <f>IF(OR(E$81="Select X to Request All Files in Category", F$81="Enter Start Year", G$81="Enter End Year", F$81&lt;Medicaid_Claims_Data_Min_Year, F$81&gt;Medicaid_Claims_Data_Max_Year, G$81&lt;Medicaid_Claims_Data_Min_Year, G$81&gt;Medicaid_Enrollment_Data_Max_Year, F$81&gt;G$81, D86="N/A"),"",IF(G$81&lt;TMSIS_IP_Min_Year, "", E$81))</f>
        <v/>
      </c>
      <c r="F86" s="114" t="str">
        <f>IF(OR(E$81="Select X to Request All Files in Category", F$81="Enter Start Year", G$81="Enter End Year", F$81&lt;Medicaid_Claims_Data_Min_Year, F$81&gt;Medicaid_Claims_Data_Max_Year, G$81&lt;Medicaid_Claims_Data_Min_Year, G$81&gt;Medicaid_Claims_Data_Max_Year, D86="N/A"),"", IF(AND(F$81&gt;G$81,E$81="x"), "Invalid year(s) entered. Check the Start Year and End Year values.", IF(G$81&lt;TMSIS_IP_Min_Year,"", IF(F$81&lt;TMSIS_IP_Min_Year, TMSIS_IP_Min_Year, F$81))))</f>
        <v/>
      </c>
      <c r="G86" s="114" t="str">
        <f>IF(OR(E$81="Select X to Request All Files in Category", F$81="Enter Start Year", G$81="Enter End Year", F$81&lt;Medicaid_Claims_Data_Min_Year, F$81&gt;Medicaid_Claims_Data_Max_Year, G$81&lt;Medicaid_Claims_Data_Min_Year, G$81&gt;Medicaid_Claims_Data_Max_Year, D86="N/A"),"", IF(AND(F$81&gt;G$81,E$81="x"), "Invalid year(s) entered. Check the Start Year and End Year values.", IF(G$81&lt;TMSIS_IP_Min_Year,"", G$81)))</f>
        <v/>
      </c>
      <c r="H86" s="111" t="str">
        <f t="shared" si="6"/>
        <v/>
      </c>
      <c r="I86" s="115" t="str">
        <f t="shared" ref="I86:I89" si="8">IF(E86="x",IF(I$81=0,"",I$81),"")</f>
        <v/>
      </c>
      <c r="J86" s="124"/>
    </row>
    <row r="87" spans="1:10" ht="128.25" customHeight="1" x14ac:dyDescent="0.45">
      <c r="A87" s="88"/>
      <c r="B87" s="107" t="s">
        <v>135</v>
      </c>
      <c r="C87" s="107" t="s">
        <v>416</v>
      </c>
      <c r="D87" s="109" t="str">
        <f>IF(TMSIS_LT_Min_Year="N/A","N/A",IF(TMSIS_LT_Max_Year=0, TMSIS_LT_Min_Year, CONCATENATE(TMSIS_LT_Min_Year," - ",TMSIS_LT_Max_Year)))</f>
        <v>2014 - 2019</v>
      </c>
      <c r="E87" s="113" t="str">
        <f>IF(OR(E$81="Select X to Request All Files in Category", F$81="Enter Start Year", G$81="Enter End Year", F$81&lt;Medicaid_Claims_Data_Min_Year, F$81&gt;Medicaid_Claims_Data_Max_Year, G$81&lt;Medicaid_Claims_Data_Min_Year, G$81&gt;Medicaid_Enrollment_Data_Max_Year, F$81&gt;G$81, D87="N/A"),"",IF(G$81&lt;TMSIS_IP_Min_Year, "", E$81))</f>
        <v/>
      </c>
      <c r="F87" s="114" t="str">
        <f>IF(OR(E$81="Select X to Request All Files in Category", F$81="Enter Start Year", G$81="Enter End Year", F$81&lt;Medicaid_Claims_Data_Min_Year, F$81&gt;Medicaid_Claims_Data_Max_Year, G$81&lt;Medicaid_Claims_Data_Min_Year, G$81&gt;Medicaid_Claims_Data_Max_Year, D87="N/A"),"", IF(AND(F$81&gt;G$81,E$81="x"), "Invalid year(s) entered. Check the Start Year and End Year values.", IF(G$81&lt;TMSIS_IP_Min_Year,"", IF(F$81&lt;TMSIS_IP_Min_Year, TMSIS_IP_Min_Year, F$81))))</f>
        <v/>
      </c>
      <c r="G87" s="114" t="str">
        <f>IF(OR(E$81="Select X to Request All Files in Category", F$81="Enter Start Year", G$81="Enter End Year", F$81&lt;Medicaid_Claims_Data_Min_Year, F$81&gt;Medicaid_Claims_Data_Max_Year, G$81&lt;Medicaid_Claims_Data_Min_Year, G$81&gt;Medicaid_Claims_Data_Max_Year, D87="N/A"),"", IF(AND(F$81&gt;G$81,E$81="x"), "Invalid year(s) entered. Check the Start Year and End Year values.", IF(G$81&lt;TMSIS_IP_Min_Year,"", G$81)))</f>
        <v/>
      </c>
      <c r="H87" s="111" t="str">
        <f t="shared" si="6"/>
        <v/>
      </c>
      <c r="I87" s="115" t="str">
        <f t="shared" si="8"/>
        <v/>
      </c>
      <c r="J87" s="124"/>
    </row>
    <row r="88" spans="1:10" ht="128.25" customHeight="1" x14ac:dyDescent="0.45">
      <c r="A88" s="88"/>
      <c r="B88" s="107" t="s">
        <v>136</v>
      </c>
      <c r="C88" s="107" t="s">
        <v>417</v>
      </c>
      <c r="D88" s="109" t="str">
        <f>IF(TMSIS_OT_Min_Year="N/A","N/A",IF(TMSIS_OT_Max_Year=0, TMSIS_OT_Min_Year, CONCATENATE(TMSIS_OT_Min_Year," - ",TMSIS_OT_Max_Year)))</f>
        <v>2014 - 2019</v>
      </c>
      <c r="E88" s="113" t="str">
        <f>IF(OR(E$81="Select X to Request All Files in Category", F$81="Enter Start Year", G$81="Enter End Year", F$81&lt;Medicaid_Claims_Data_Min_Year, F$81&gt;Medicaid_Claims_Data_Max_Year, G$81&lt;Medicaid_Claims_Data_Min_Year, G$81&gt;Medicaid_Enrollment_Data_Max_Year, F$81&gt;G$81, D88="N/A"),"",IF(G$81&lt;TMSIS_IP_Min_Year, "", E$81))</f>
        <v/>
      </c>
      <c r="F88" s="114" t="str">
        <f>IF(OR(E$81="Select X to Request All Files in Category", F$81="Enter Start Year", G$81="Enter End Year", F$81&lt;Medicaid_Claims_Data_Min_Year, F$81&gt;Medicaid_Claims_Data_Max_Year, G$81&lt;Medicaid_Claims_Data_Min_Year, G$81&gt;Medicaid_Claims_Data_Max_Year, D88="N/A"),"", IF(AND(F$81&gt;G$81,E$81="x"), "Invalid year(s) entered. Check the Start Year and End Year values.", IF(G$81&lt;TMSIS_IP_Min_Year,"", IF(F$81&lt;TMSIS_IP_Min_Year, TMSIS_IP_Min_Year, F$81))))</f>
        <v/>
      </c>
      <c r="G88" s="114" t="str">
        <f>IF(OR(E$81="Select X to Request All Files in Category", F$81="Enter Start Year", G$81="Enter End Year", F$81&lt;Medicaid_Claims_Data_Min_Year, F$81&gt;Medicaid_Claims_Data_Max_Year, G$81&lt;Medicaid_Claims_Data_Min_Year, G$81&gt;Medicaid_Claims_Data_Max_Year, D88="N/A"),"", IF(AND(F$81&gt;G$81,E$81="x"), "Invalid year(s) entered. Check the Start Year and End Year values.", IF(G$81&lt;TMSIS_IP_Min_Year,"", G$81)))</f>
        <v/>
      </c>
      <c r="H88" s="111" t="str">
        <f t="shared" si="6"/>
        <v/>
      </c>
      <c r="I88" s="115" t="str">
        <f t="shared" si="8"/>
        <v/>
      </c>
      <c r="J88" s="124"/>
    </row>
    <row r="89" spans="1:10" ht="128.25" customHeight="1" x14ac:dyDescent="0.45">
      <c r="A89" s="88"/>
      <c r="B89" s="107" t="s">
        <v>137</v>
      </c>
      <c r="C89" s="107" t="s">
        <v>418</v>
      </c>
      <c r="D89" s="109" t="str">
        <f>IF(TMSIS_RX_Min_Year="N/A","N/A",IF(TMSIS_RX_Max_Year=0, TMSIS_RX_Min_Year, CONCATENATE(TMSIS_RX_Min_Year," - ",TMSIS_RX_Max_Year)))</f>
        <v>2014 - 2019</v>
      </c>
      <c r="E89" s="113" t="str">
        <f>IF(OR(E$81="Select X to Request All Files in Category", F$81="Enter Start Year", G$81="Enter End Year", F$81&lt;Medicaid_Claims_Data_Min_Year, F$81&gt;Medicaid_Claims_Data_Max_Year, G$81&lt;Medicaid_Claims_Data_Min_Year, G$81&gt;Medicaid_Enrollment_Data_Max_Year, F$81&gt;G$81, D89="N/A"),"",IF(G$81&lt;TMSIS_IP_Min_Year, "", E$81))</f>
        <v/>
      </c>
      <c r="F89" s="114" t="str">
        <f>IF(OR(E$81="Select X to Request All Files in Category", F$81="Enter Start Year", G$81="Enter End Year", F$81&lt;Medicaid_Claims_Data_Min_Year, F$81&gt;Medicaid_Claims_Data_Max_Year, G$81&lt;Medicaid_Claims_Data_Min_Year, G$81&gt;Medicaid_Claims_Data_Max_Year, D89="N/A"),"", IF(AND(F$81&gt;G$81,E$81="x"), "Invalid year(s) entered. Check the Start Year and End Year values.", IF(G$81&lt;TMSIS_IP_Min_Year,"", IF(F$81&lt;TMSIS_IP_Min_Year, TMSIS_IP_Min_Year, F$81))))</f>
        <v/>
      </c>
      <c r="G89" s="114" t="str">
        <f>IF(OR(E$81="Select X to Request All Files in Category", F$81="Enter Start Year", G$81="Enter End Year", F$81&lt;Medicaid_Claims_Data_Min_Year, F$81&gt;Medicaid_Claims_Data_Max_Year, G$81&lt;Medicaid_Claims_Data_Min_Year, G$81&gt;Medicaid_Claims_Data_Max_Year, D89="N/A"),"", IF(AND(F$81&gt;G$81,E$81="x"), "Invalid year(s) entered. Check the Start Year and End Year values.", IF(G$81&lt;TMSIS_IP_Min_Year,"", G$81)))</f>
        <v/>
      </c>
      <c r="H89" s="111" t="str">
        <f t="shared" si="6"/>
        <v/>
      </c>
      <c r="I89" s="115" t="str">
        <f t="shared" si="8"/>
        <v/>
      </c>
      <c r="J89" s="124"/>
    </row>
    <row r="90" spans="1:10" ht="55.4" customHeight="1" x14ac:dyDescent="0.45">
      <c r="A90" s="88"/>
      <c r="B90" s="132" t="s">
        <v>97</v>
      </c>
      <c r="C90" s="89"/>
      <c r="D90" s="89"/>
      <c r="E90" s="90"/>
      <c r="F90" s="90"/>
      <c r="G90" s="90"/>
      <c r="H90" s="89"/>
      <c r="I90" s="89"/>
      <c r="J90" s="88"/>
    </row>
    <row r="91" spans="1:10" ht="22.5" customHeight="1" x14ac:dyDescent="0.45">
      <c r="A91" s="88"/>
      <c r="B91" s="140" t="s">
        <v>471</v>
      </c>
      <c r="C91" s="133"/>
      <c r="D91" s="133"/>
      <c r="E91" s="133"/>
      <c r="F91" s="133"/>
      <c r="G91" s="133"/>
      <c r="H91" s="133"/>
      <c r="I91" s="134"/>
      <c r="J91" s="88"/>
    </row>
    <row r="92" spans="1:10" ht="43.15" customHeight="1" thickBot="1" x14ac:dyDescent="0.5">
      <c r="A92" s="88"/>
      <c r="B92" s="269" t="s">
        <v>480</v>
      </c>
      <c r="C92" s="271"/>
      <c r="D92" s="271"/>
      <c r="E92" s="271"/>
      <c r="F92" s="271"/>
      <c r="G92" s="271"/>
      <c r="H92" s="135"/>
      <c r="I92" s="136"/>
      <c r="J92" s="88"/>
    </row>
    <row r="93" spans="1:10" ht="80.150000000000006" customHeight="1" thickBot="1" x14ac:dyDescent="0.5">
      <c r="A93" s="88"/>
      <c r="B93" s="97" t="s">
        <v>20</v>
      </c>
      <c r="C93" s="98" t="s">
        <v>69</v>
      </c>
      <c r="D93" s="99" t="s">
        <v>1</v>
      </c>
      <c r="E93" s="100" t="s">
        <v>628</v>
      </c>
      <c r="F93" s="101" t="s">
        <v>171</v>
      </c>
      <c r="G93" s="101" t="s">
        <v>172</v>
      </c>
      <c r="H93" s="101" t="s">
        <v>605</v>
      </c>
      <c r="I93" s="102" t="s">
        <v>537</v>
      </c>
      <c r="J93" s="88"/>
    </row>
    <row r="94" spans="1:10" ht="100" customHeight="1" thickBot="1" x14ac:dyDescent="0.5">
      <c r="A94" s="137"/>
      <c r="B94" s="104"/>
      <c r="C94" s="105"/>
      <c r="D94" s="106"/>
      <c r="E94" s="223" t="s">
        <v>153</v>
      </c>
      <c r="F94" s="223" t="s">
        <v>260</v>
      </c>
      <c r="G94" s="223" t="s">
        <v>261</v>
      </c>
      <c r="H94" s="223" t="s">
        <v>604</v>
      </c>
      <c r="I94" s="224"/>
      <c r="J94" s="88"/>
    </row>
    <row r="95" spans="1:10" ht="128.15" customHeight="1" x14ac:dyDescent="0.45">
      <c r="A95" s="137"/>
      <c r="B95" s="107" t="s">
        <v>56</v>
      </c>
      <c r="C95" s="107" t="s">
        <v>458</v>
      </c>
      <c r="D95" s="109" t="str">
        <f>IF(IRF_PAI_Min_Year="N/A","N/A",IF(IRF_PAI_Max_Year=0,IRF_PAI_Min_Year, CONCATENATE(IRF_PAI_Min_Year," - ",IRF_PAI_Max_Year)))</f>
        <v>2006 - 2020</v>
      </c>
      <c r="E95" s="114" t="str">
        <f>IF(OR(E$94="Select X to Request All Files in Category",F$94="Enter Start Year", G94="Enter End Year",F$94&gt;G$94,F$94&lt;IRF_PAI_Min_Year,F$94&gt;IRF_PAI_Max_Year,G$94&lt;IRF_PAI_Min_Year,G$94&gt;IRF_PAI_Max_Year, D95="N/A"),"",E$94)</f>
        <v/>
      </c>
      <c r="F95" s="114" t="str">
        <f>IF(OR(E$94="Select X to Request All Files in Category",F$94="Enter Start Year",G$94="Enter End Year", F$94&lt;IRF_PAI_Min_Year,F$94&gt;IRF_PAI_Max_Year,G$94&lt;IRF_PAI_Min_Year,G$94&gt;IRF_PAI_Max_Year, D95="N/A"),"",IF(F$94&gt;G$94,"Invalid year selections. Check the Start Year and End Year values",F$94))</f>
        <v/>
      </c>
      <c r="G95" s="114" t="str">
        <f>IF(OR(E$94="Select X to Request All Files in Category",F$94="Enter Start Year",G$94="Enter End Year",F$94&lt;IRF_PAI_Min_Year,F$94&gt;IRF_PAI_Max_Year,G$94&lt;IRF_PAI_Min_Year,G$94&gt;IRF_PAI_Max_Year, D95="N/A"),"",IF(F$94&gt;G$94,"Invalid year selections. Check the Start Year and End Year values",G$94))</f>
        <v/>
      </c>
      <c r="H95" s="111" t="str">
        <f>IF(E95="x",IF(H$94="Select a Masking Level","",H$94),"")</f>
        <v/>
      </c>
      <c r="I95" s="138" t="str">
        <f>IF(E95="x",IF(I$94=0,"",I$94),"")</f>
        <v/>
      </c>
      <c r="J95" s="88"/>
    </row>
    <row r="96" spans="1:10" ht="55.4" customHeight="1" x14ac:dyDescent="0.45">
      <c r="A96" s="88"/>
      <c r="B96" s="132" t="s">
        <v>97</v>
      </c>
      <c r="C96" s="139"/>
      <c r="D96" s="139"/>
      <c r="E96" s="139"/>
      <c r="F96" s="139"/>
      <c r="G96" s="139"/>
      <c r="H96" s="139"/>
      <c r="I96" s="139"/>
      <c r="J96" s="88"/>
    </row>
    <row r="97" spans="1:10" ht="22.5" customHeight="1" x14ac:dyDescent="0.45">
      <c r="A97" s="88"/>
      <c r="B97" s="140" t="s">
        <v>472</v>
      </c>
      <c r="C97" s="133"/>
      <c r="D97" s="133"/>
      <c r="E97" s="133"/>
      <c r="F97" s="133"/>
      <c r="G97" s="133"/>
      <c r="H97" s="133"/>
      <c r="I97" s="134"/>
      <c r="J97" s="88"/>
    </row>
    <row r="98" spans="1:10" ht="39.65" customHeight="1" thickBot="1" x14ac:dyDescent="0.5">
      <c r="A98" s="88"/>
      <c r="B98" s="269" t="s">
        <v>481</v>
      </c>
      <c r="C98" s="271"/>
      <c r="D98" s="271"/>
      <c r="E98" s="271"/>
      <c r="F98" s="271"/>
      <c r="G98" s="271"/>
      <c r="H98" s="135"/>
      <c r="I98" s="136"/>
      <c r="J98" s="88"/>
    </row>
    <row r="99" spans="1:10" ht="80.150000000000006" customHeight="1" thickBot="1" x14ac:dyDescent="0.5">
      <c r="A99" s="88"/>
      <c r="B99" s="97" t="s">
        <v>20</v>
      </c>
      <c r="C99" s="98" t="s">
        <v>69</v>
      </c>
      <c r="D99" s="99" t="s">
        <v>1</v>
      </c>
      <c r="E99" s="100" t="s">
        <v>627</v>
      </c>
      <c r="F99" s="101" t="s">
        <v>171</v>
      </c>
      <c r="G99" s="101" t="s">
        <v>172</v>
      </c>
      <c r="H99" s="101" t="s">
        <v>605</v>
      </c>
      <c r="I99" s="102" t="s">
        <v>538</v>
      </c>
      <c r="J99" s="88"/>
    </row>
    <row r="100" spans="1:10" ht="100" customHeight="1" thickBot="1" x14ac:dyDescent="0.5">
      <c r="A100" s="137"/>
      <c r="B100" s="104"/>
      <c r="C100" s="105"/>
      <c r="D100" s="106"/>
      <c r="E100" s="223" t="s">
        <v>153</v>
      </c>
      <c r="F100" s="223" t="s">
        <v>260</v>
      </c>
      <c r="G100" s="223" t="s">
        <v>261</v>
      </c>
      <c r="H100" s="223" t="s">
        <v>604</v>
      </c>
      <c r="I100" s="224"/>
      <c r="J100" s="88"/>
    </row>
    <row r="101" spans="1:10" ht="128.15" customHeight="1" x14ac:dyDescent="0.45">
      <c r="A101" s="137"/>
      <c r="B101" s="107" t="s">
        <v>459</v>
      </c>
      <c r="C101" s="107" t="s">
        <v>466</v>
      </c>
      <c r="D101" s="109" t="str">
        <f>IF(MDS_Min_Year="N/A","N/A",IF(MDS_Max_Year=0,MDS_Min_Year, CONCATENATE(MDS_Min_Year," - ",MDS_Max_Year)))</f>
        <v>2006 - 2021</v>
      </c>
      <c r="E101" s="114" t="str">
        <f>IF(OR(E$100="Select X to Request All Files in Category",F$100="Enter Start Year", G100="Enter End Year",F$100&gt;G$100,F$100&lt;MDS_Min_Year,F$100&gt;MDS_Max_Year,G$100&lt;MDS_Min_Year,G$100&gt;MDS_Max_Year, D101="N/A"),"",E$100)</f>
        <v/>
      </c>
      <c r="F101" s="114" t="str">
        <f>IF(OR(E$100="Select X to Request All Files in Category",F$100="Enter Start Year",G$100="Enter End Year", F$100&lt;MDS_Min_Year,F$100&gt;MDS_Max_Year,G$100&lt;MDS_Min_Year,G$100&gt;MDS_Max_Year, D101="N/A"),"",IF(F$100&gt;G$100,"Invalid year selections. Check the Start Year and End Year values",F$100))</f>
        <v/>
      </c>
      <c r="G101" s="114" t="str">
        <f>IF(OR(E$100="Select X to Request All Files in Category",F$100="Enter Start Year",G$100="Enter End Year",F$100&lt;MDS_Min_Year,F$100&gt;MDS_Max_Year,G$100&lt;MDS_Min_Year,G$100&gt;MDS_Max_Year, D101="N/A"),"",IF(F$100&gt;G$100,"Invalid year selections. Check the Start Year and End Year values",G$100))</f>
        <v/>
      </c>
      <c r="H101" s="111" t="str">
        <f>IF(E101="x",IF(H$100="Select a Masking Level","",H$100),"")</f>
        <v/>
      </c>
      <c r="I101" s="138" t="str">
        <f>IF(E101="x",IF(I$100=0,"",I$100),"")</f>
        <v/>
      </c>
      <c r="J101" s="88"/>
    </row>
    <row r="102" spans="1:10" ht="55.4" customHeight="1" x14ac:dyDescent="0.45">
      <c r="A102" s="88"/>
      <c r="B102" s="132" t="s">
        <v>97</v>
      </c>
      <c r="C102" s="139"/>
      <c r="D102" s="139"/>
      <c r="E102" s="139"/>
      <c r="F102" s="139"/>
      <c r="G102" s="139"/>
      <c r="H102" s="139"/>
      <c r="I102" s="139"/>
      <c r="J102" s="88"/>
    </row>
    <row r="103" spans="1:10" ht="22.5" customHeight="1" x14ac:dyDescent="0.45">
      <c r="A103" s="88"/>
      <c r="B103" s="140" t="s">
        <v>473</v>
      </c>
      <c r="C103" s="133"/>
      <c r="D103" s="133"/>
      <c r="E103" s="133"/>
      <c r="F103" s="133"/>
      <c r="G103" s="133"/>
      <c r="H103" s="133"/>
      <c r="I103" s="134"/>
      <c r="J103" s="88"/>
    </row>
    <row r="104" spans="1:10" ht="34.15" customHeight="1" thickBot="1" x14ac:dyDescent="0.5">
      <c r="A104" s="88"/>
      <c r="B104" s="269" t="s">
        <v>482</v>
      </c>
      <c r="C104" s="271"/>
      <c r="D104" s="271"/>
      <c r="E104" s="271"/>
      <c r="F104" s="271"/>
      <c r="G104" s="271"/>
      <c r="H104" s="135"/>
      <c r="I104" s="136"/>
      <c r="J104" s="88"/>
    </row>
    <row r="105" spans="1:10" ht="80.150000000000006" customHeight="1" thickBot="1" x14ac:dyDescent="0.5">
      <c r="A105" s="88"/>
      <c r="B105" s="97" t="s">
        <v>20</v>
      </c>
      <c r="C105" s="98" t="s">
        <v>69</v>
      </c>
      <c r="D105" s="99" t="s">
        <v>1</v>
      </c>
      <c r="E105" s="100" t="s">
        <v>626</v>
      </c>
      <c r="F105" s="101" t="s">
        <v>171</v>
      </c>
      <c r="G105" s="101" t="s">
        <v>172</v>
      </c>
      <c r="H105" s="101" t="s">
        <v>605</v>
      </c>
      <c r="I105" s="102" t="s">
        <v>539</v>
      </c>
      <c r="J105" s="88"/>
    </row>
    <row r="106" spans="1:10" ht="100" customHeight="1" thickBot="1" x14ac:dyDescent="0.5">
      <c r="A106" s="137"/>
      <c r="B106" s="104"/>
      <c r="C106" s="105"/>
      <c r="D106" s="106"/>
      <c r="E106" s="223" t="s">
        <v>153</v>
      </c>
      <c r="F106" s="223" t="s">
        <v>260</v>
      </c>
      <c r="G106" s="223" t="s">
        <v>261</v>
      </c>
      <c r="H106" s="223" t="s">
        <v>604</v>
      </c>
      <c r="I106" s="224"/>
      <c r="J106" s="88"/>
    </row>
    <row r="107" spans="1:10" ht="128.15" customHeight="1" x14ac:dyDescent="0.45">
      <c r="A107" s="137"/>
      <c r="B107" s="107" t="s">
        <v>107</v>
      </c>
      <c r="C107" s="107" t="s">
        <v>467</v>
      </c>
      <c r="D107" s="109" t="str">
        <f>IF(OASIS_Min_Year="N/A","N/A",IF(OASIS_Max_Year=0,OASIS_Min_Year, CONCATENATE(OASIS_Min_Year," - ",OASIS_Max_Year)))</f>
        <v>2006 - 2020</v>
      </c>
      <c r="E107" s="114" t="str">
        <f>IF(OR(E$106="Select X to Request All Files in Category",F$106="Enter Start Year", G106="Enter End Year",F$106&gt;G$106,F$106&lt;OASIS_Min_Year,F$106&gt;OASIS_Max_Year,G$106&lt;OASIS_Min_Year,G$106&gt;OASIS_Max_Year, D107="N/A"),"",E$106)</f>
        <v/>
      </c>
      <c r="F107" s="114" t="str">
        <f>IF(OR(E$106="Select X to Request All Files in Category",F$106="Enter Start Year",G$106="Enter End Year", F$106&lt;OASIS_Min_Year,F$106&gt;OASIS_Max_Year,G$106&lt;OASIS_Min_Year,G$106&gt;OASIS_Max_Year, D107="N/A"),"",IF(F$106&gt;G$106,"Invalid year selections. Check the Start Year and End Year values",F$106))</f>
        <v/>
      </c>
      <c r="G107" s="114" t="str">
        <f>IF(OR(E$106="Select X to Request All Files in Category",F$106="Enter Start Year",G$106="Enter End Year",F$106&lt;OASIS_Min_Year,F$106&gt;OASIS_Max_Year,G$106&lt;OASIS_Min_Year,G$106&gt;OASIS_Max_Year, D107="N/A"),"",IF(F$106&gt;G$106,"Invalid year selections. Check the Start Year and End Year values",G$106))</f>
        <v/>
      </c>
      <c r="H107" s="111" t="str">
        <f>IF(E107="x",IF(H$106="Select a Masking Level","",H$106),"")</f>
        <v/>
      </c>
      <c r="I107" s="138" t="str">
        <f>IF(E107="x",IF(I$106=0,"",I$106),"")</f>
        <v/>
      </c>
      <c r="J107" s="88"/>
    </row>
    <row r="108" spans="1:10" ht="55.4" customHeight="1" x14ac:dyDescent="0.45">
      <c r="A108" s="88"/>
      <c r="B108" s="132" t="s">
        <v>97</v>
      </c>
      <c r="C108" s="139"/>
      <c r="D108" s="139"/>
      <c r="E108" s="139"/>
      <c r="F108" s="139"/>
      <c r="G108" s="139"/>
      <c r="H108" s="139"/>
      <c r="I108" s="139"/>
      <c r="J108" s="88"/>
    </row>
    <row r="109" spans="1:10" s="20" customFormat="1" ht="35.25" customHeight="1" x14ac:dyDescent="0.45">
      <c r="A109" s="141"/>
      <c r="B109" s="279" t="s">
        <v>500</v>
      </c>
      <c r="C109" s="250"/>
      <c r="D109" s="250"/>
      <c r="E109" s="250"/>
      <c r="F109" s="250"/>
      <c r="G109" s="250"/>
      <c r="H109" s="250"/>
      <c r="I109" s="250"/>
      <c r="J109" s="142"/>
    </row>
  </sheetData>
  <sheetProtection algorithmName="SHA-512" hashValue="LldyjnuqY8p5VnsiN+hNMQHe5A0XrGlIxSWRPDzOv2tdPlMtb5/3d/aR84ES94ZQ0b1TGEqdesXvOaIoLl3i3g==" saltValue="Ti5LnN6sYRUvNtLcpeDcgQ==" spinCount="100000" sheet="1" objects="1" scenarios="1" formatCells="0" formatColumns="0" formatRows="0"/>
  <conditionalFormatting sqref="E1:E1048576">
    <cfRule type="cellIs" dxfId="0" priority="2" operator="equal">
      <formula>"x"</formula>
    </cfRule>
  </conditionalFormatting>
  <dataValidations xWindow="782" yWindow="786" count="112">
    <dataValidation type="whole" allowBlank="1" showInputMessage="1" showErrorMessage="1" error="Enter a Start Year specified in the years available cell. " prompt="Select a Start Year." sqref="F81" xr:uid="{00000000-0002-0000-0500-000000000000}">
      <formula1>Medicaid_Claims_Data_Min_Year</formula1>
      <formula2>Medicaid_Claims_Data_Max_Year</formula2>
    </dataValidation>
    <dataValidation type="list" operator="equal" allowBlank="1" showErrorMessage="1" error="Select X to request the Denominator (DN) data. If you do not need the data, leave the menu as-is." prompt="Select X to request the Medicare Enrollment Data. If you do not need the data, leave the menu as-is." sqref="E23" xr:uid="{00000000-0002-0000-0500-000001000000}">
      <formula1>"X"</formula1>
    </dataValidation>
    <dataValidation type="list" allowBlank="1" showInputMessage="1" showErrorMessage="1" error="Select X to request the Medicare Enrollment Data. If you do not need the data, leave the menu as-is." prompt="Select X to request Medicare Enrollment data. If you do not need these data, leave the menu as-is." sqref="E22" xr:uid="{00000000-0002-0000-0500-000002000000}">
      <formula1>"Select X to Request All Files in Category, X"</formula1>
    </dataValidation>
    <dataValidation allowBlank="1" showInputMessage="1" showErrorMessage="1" prompt="Enter the reason(s) why your study requires Medicare Enrollment data and how your requested data is the minimum data needed for your study." sqref="I22" xr:uid="{00000000-0002-0000-0500-000003000000}"/>
    <dataValidation type="list" allowBlank="1" showInputMessage="1" showErrorMessage="1" error="Select X to request the Medicaid Enrollment Data. If you do not need the data, leave the menu as-is." prompt="Select X to request Medicaid Enrollment data. If you do not need these data, leave the menu as-is." sqref="E37" xr:uid="{00000000-0002-0000-0500-000005000000}">
      <formula1>"Select X to Request All Files in Category, X"</formula1>
    </dataValidation>
    <dataValidation type="list" allowBlank="1" showInputMessage="1" showErrorMessage="1" error="Select X to request the Medicare Part A &amp; B Claims Data. If you do not need the data, leave the menu as-is." prompt="Select X to request Medicare Parts A &amp; B Claims data. If you do not need these data, leave the menu as-is." sqref="E44" xr:uid="{00000000-0002-0000-0500-000006000000}">
      <formula1>"Select X to Request All Files in Category, X"</formula1>
    </dataValidation>
    <dataValidation type="list" allowBlank="1" showInputMessage="1" showErrorMessage="1" error="Select X to request the Part D Drug Data. If you do not need the data, leave the menu as-is._x000a_" prompt="Select X to request Part D MTM Data. If you do not need these data, leave the menu as-is." sqref="E68" xr:uid="{00000000-0002-0000-0500-000007000000}">
      <formula1>"Select X to Request All Files in Category, X"</formula1>
    </dataValidation>
    <dataValidation type="list" allowBlank="1" showInputMessage="1" showErrorMessage="1" error="Select X to request the Medicaid Claims Data. If you do not need the data, leave the menu as-is._x000a_" prompt="Select X to request Medicaid Claims Data. If you do not need these data, leave the menu as-is." sqref="E81" xr:uid="{00000000-0002-0000-0500-000008000000}">
      <formula1>"Select X to Request All Files in Category, X"</formula1>
    </dataValidation>
    <dataValidation type="whole" allowBlank="1" showInputMessage="1" showErrorMessage="1" error="Enter an End Year specified in the years available cell. " prompt="Select an End Year." sqref="G81" xr:uid="{00000000-0002-0000-0500-000009000000}">
      <formula1>Medicaid_Claims_Data_Min_Year</formula1>
      <formula2>Medicaid_Claims_Data_Max_Year</formula2>
    </dataValidation>
    <dataValidation allowBlank="1" showInputMessage="1" showErrorMessage="1" prompt="Enter the reason(s) why your study requires Medicaid Enrollment data and how your requested data is the minimum data needed for your study." sqref="I37" xr:uid="{00000000-0002-0000-0500-00000A000000}"/>
    <dataValidation allowBlank="1" showInputMessage="1" showErrorMessage="1" prompt="Enter the reason(s) why your study requires Medicare Parts A &amp; B Claims data and how your requested data is the minimum data needed for your study." sqref="I44" xr:uid="{00000000-0002-0000-0500-00000B000000}"/>
    <dataValidation allowBlank="1" showInputMessage="1" showErrorMessage="1" prompt="Enter the reason(s) why your study requires Part D MTM data and how your requested data is the minimum data needed for your study." sqref="I68" xr:uid="{00000000-0002-0000-0500-00000C000000}"/>
    <dataValidation allowBlank="1" showInputMessage="1" showErrorMessage="1" prompt="Enter the reason(s) why your study requires Medicaid Claims data and how your requested data is the minimum data needed for your study." sqref="I81" xr:uid="{00000000-0002-0000-0500-00000D000000}"/>
    <dataValidation type="whole" allowBlank="1" showErrorMessage="1" error="Enter a Start Year specified in the Year(s) Available cell. " sqref="F23" xr:uid="{00000000-0002-0000-0500-00000E000000}">
      <formula1>DN_Min_Year</formula1>
      <formula2>DN_Max_Year</formula2>
    </dataValidation>
    <dataValidation type="whole" allowBlank="1" showErrorMessage="1" error="Enter End Year specified in the Year(s) Available cell." sqref="G23" xr:uid="{00000000-0002-0000-0500-00000F000000}">
      <formula1>DN_Min_Year</formula1>
      <formula2>DN_Max_Year</formula2>
    </dataValidation>
    <dataValidation type="whole" allowBlank="1" showErrorMessage="1" error="Enter Start Year specified in the Year(s) Available cell." sqref="F24" xr:uid="{00000000-0002-0000-0500-000010000000}">
      <formula1>MBSF_Base_Min_Year</formula1>
      <formula2>MBSF_Base_Max_Year</formula2>
    </dataValidation>
    <dataValidation type="whole" allowBlank="1" showErrorMessage="1" error="Enter End Year specified in the Year(s) Available cell." sqref="G24" xr:uid="{00000000-0002-0000-0500-000011000000}">
      <formula1>MBSF_Base_Min_Year</formula1>
      <formula2>MBSF_Base_Max_Year</formula2>
    </dataValidation>
    <dataValidation type="list" allowBlank="1" showErrorMessage="1" error="Select X to request the Master Beneficiary Summary File (MBSF): Base data. If you do not need the data, leave the menu as-is." sqref="E24" xr:uid="{00000000-0002-0000-0500-000012000000}">
      <formula1>"X"</formula1>
    </dataValidation>
    <dataValidation type="whole" allowBlank="1" showInputMessage="1" showErrorMessage="1" error="Enter Start Year specified in the Year(s) Available cell." sqref="F69" xr:uid="{00000000-0002-0000-0500-000014000000}">
      <formula1>MTM_Min_Year</formula1>
      <formula2>MTM_Max_Year</formula2>
    </dataValidation>
    <dataValidation type="whole" allowBlank="1" showInputMessage="1" showErrorMessage="1" error="Enter End Year specified in the Year(s) Available cell." sqref="G69" xr:uid="{00000000-0002-0000-0500-000015000000}">
      <formula1>MTM_Min_Year</formula1>
      <formula2>MTM_Max_Year</formula2>
    </dataValidation>
    <dataValidation type="list" allowBlank="1" showInputMessage="1" showErrorMessage="1" error="Select X to request the Medicaid Analytic eXtract (MAX) Personal Summary (PS) Enrollment Data. If you do not need the data, leave the menu as-is." sqref="E38:E39" xr:uid="{00000000-0002-0000-0500-000016000000}">
      <formula1>"X"</formula1>
    </dataValidation>
    <dataValidation type="list" allowBlank="1" showInputMessage="1" showErrorMessage="1" error="Select X to request theMedRIC-Built Medicare Provider Analysis &amp; Review (MedPAR). If you do not need the data, leave the menu as-is." sqref="E52" xr:uid="{00000000-0002-0000-0500-000017000000}">
      <formula1>"X"</formula1>
    </dataValidation>
    <dataValidation type="list" allowBlank="1" showInputMessage="1" showErrorMessage="1" error="Select X to request the Medicare Part D Medication Therapy Management (MTM). If you do not need the data, leave the menu as-is." sqref="E69 E75" xr:uid="{00000000-0002-0000-0500-000018000000}">
      <formula1>"X"</formula1>
    </dataValidation>
    <dataValidation type="whole" allowBlank="1" showInputMessage="1" showErrorMessage="1" error="Enter Start Year specified in the Year(s) Available cell." sqref="F38" xr:uid="{00000000-0002-0000-0500-000019000000}">
      <formula1>MAX_PS_Min_Year</formula1>
      <formula2>MAX_PS_Max_Year</formula2>
    </dataValidation>
    <dataValidation type="whole" allowBlank="1" showInputMessage="1" showErrorMessage="1" error="Enter End Year specified in the Year(s) Available cell." sqref="G38" xr:uid="{00000000-0002-0000-0500-00001A000000}">
      <formula1>MAX_PS_Min_Year</formula1>
      <formula2>MAX_PS_Max_Year</formula2>
    </dataValidation>
    <dataValidation type="list" allowBlank="1" showInputMessage="1" showErrorMessage="1" error="Select X to request the Medicaid Analytic eXtract (MAX) Other Services (OT) Claims. If you do not need the data, leave the menu as-is." sqref="E84:E89" xr:uid="{00000000-0002-0000-0500-00001B000000}">
      <formula1>"X"</formula1>
    </dataValidation>
    <dataValidation type="whole" allowBlank="1" showInputMessage="1" showErrorMessage="1" error="Enter an End Year specified in the years available cell. " prompt="Enter an End Year." sqref="G22" xr:uid="{00000000-0002-0000-0500-00001C000000}">
      <formula1>Medicare_Enrollment_Data_Min_Year</formula1>
      <formula2>Medicare_Enrollment_Data_Max_Year</formula2>
    </dataValidation>
    <dataValidation type="whole" allowBlank="1" showInputMessage="1" showErrorMessage="1" error="Enter a Start Year specified in the years available cell. " prompt="Enter a Start Year. " sqref="F22" xr:uid="{00000000-0002-0000-0500-00001D000000}">
      <formula1>Medicare_Enrollment_Data_Min_Year</formula1>
      <formula2>Medicare_Enrollment_Data_Max_Year</formula2>
    </dataValidation>
    <dataValidation type="whole" allowBlank="1" showInputMessage="1" showErrorMessage="1" error="Enter a Start Year specified in the years available cell. " prompt="Enter a Start Year. " sqref="F37" xr:uid="{00000000-0002-0000-0500-00001E000000}">
      <formula1>Medicaid_Enrollment_Data_Min_Year</formula1>
      <formula2>Medicaid_Enrollment_Data_Max_Year</formula2>
    </dataValidation>
    <dataValidation type="whole" allowBlank="1" showInputMessage="1" showErrorMessage="1" error="Enter an End Year specified in the years available cell. " prompt="Enter an End Year." sqref="G37" xr:uid="{00000000-0002-0000-0500-00001F000000}">
      <formula1>Medicaid_Enrollment_Data_Min_Year</formula1>
      <formula2>Medicaid_Enrollment_Data_Max_Year</formula2>
    </dataValidation>
    <dataValidation type="whole" allowBlank="1" showInputMessage="1" showErrorMessage="1" error="Enter Start Year specified in the Year(s) Available cell." sqref="F52" xr:uid="{00000000-0002-0000-0500-000020000000}">
      <formula1>MedPAR_Min_Year</formula1>
      <formula2>MedPAR_Max_Year</formula2>
    </dataValidation>
    <dataValidation type="whole" allowBlank="1" showInputMessage="1" showErrorMessage="1" error="Enter End Year specified in the Year(s) Available cell." sqref="G52" xr:uid="{00000000-0002-0000-0500-000021000000}">
      <formula1>MedPAR_Min_Year</formula1>
      <formula2>MedPAR_Max_Year</formula2>
    </dataValidation>
    <dataValidation type="whole" allowBlank="1" showInputMessage="1" showErrorMessage="1" error="Enter a Start Year specified in the years available cell. " prompt="Enter a Start Year. " sqref="F44" xr:uid="{00000000-0002-0000-0500-000022000000}">
      <formula1>Medicare_Claims_Data_Min_Year</formula1>
      <formula2>Medicare_Claims_Data_Max_Year</formula2>
    </dataValidation>
    <dataValidation type="whole" allowBlank="1" showInputMessage="1" showErrorMessage="1" error="Enter an End Year specified in the years available cell. " prompt="Enter an End Year." sqref="G44" xr:uid="{00000000-0002-0000-0500-000023000000}">
      <formula1>Medicare_Claims_Data_Min_Year</formula1>
      <formula2>Medicare_Claims_Data_Max_Year</formula2>
    </dataValidation>
    <dataValidation type="list" allowBlank="1" showInputMessage="1" showErrorMessage="1" error="Select X to request the Medicare Carrier (PB) Claims. If you do not need the data, leave the menu as-is." sqref="E45" xr:uid="{00000000-0002-0000-0500-000024000000}">
      <formula1>"X"</formula1>
    </dataValidation>
    <dataValidation type="list" allowBlank="1" showInputMessage="1" showErrorMessage="1" error="Select X to request the Medicare Durable Medical Equipment (DM) Claims. If you do not need the data, leave the menu as-is." sqref="E46" xr:uid="{00000000-0002-0000-0500-000025000000}">
      <formula1>"X"</formula1>
    </dataValidation>
    <dataValidation type="list" allowBlank="1" showInputMessage="1" showErrorMessage="1" error="Select X to request the Medicare Home Health (HH) Claims. If you do not need the data, leave the menu as-is." sqref="E47" xr:uid="{00000000-0002-0000-0500-000026000000}">
      <formula1>"X"</formula1>
    </dataValidation>
    <dataValidation type="list" allowBlank="1" showInputMessage="1" showErrorMessage="1" error="Select X to request the Medicare Hospice (HS) Claims. If you do not need the data, leave the menu as-is." sqref="E48" xr:uid="{00000000-0002-0000-0500-000027000000}">
      <formula1>"X"</formula1>
    </dataValidation>
    <dataValidation type="list" allowBlank="1" showInputMessage="1" showErrorMessage="1" error="Select X to request the Medicare Inpatient (IP) Claims. If you do not need the data, leave the menu as-is." sqref="E49" xr:uid="{00000000-0002-0000-0500-000028000000}">
      <formula1>"X"</formula1>
    </dataValidation>
    <dataValidation type="list" allowBlank="1" showInputMessage="1" showErrorMessage="1" error="Select X to request the Medicare Outpatient (OP) Claims. If you do not need the data, leave the menu as-is." sqref="E50" xr:uid="{00000000-0002-0000-0500-000029000000}">
      <formula1>"X"</formula1>
    </dataValidation>
    <dataValidation type="list" allowBlank="1" showInputMessage="1" showErrorMessage="1" error="Select X to request the Medicare Skilled Nursing Facility (SN) Claims. If you do not need the data, leave the menu as-is." sqref="E51" xr:uid="{00000000-0002-0000-0500-00002A000000}">
      <formula1>"X"</formula1>
    </dataValidation>
    <dataValidation type="whole" allowBlank="1" showInputMessage="1" showErrorMessage="1" error="Enter a Start Year specified in the years available cell. " prompt="Enter a Start Year. " sqref="F68" xr:uid="{00000000-0002-0000-0500-00002B000000}">
      <formula1>MTM_Min_Year</formula1>
      <formula2>MTM_Max_Year</formula2>
    </dataValidation>
    <dataValidation type="whole" allowBlank="1" showInputMessage="1" showErrorMessage="1" error="Enter an End Year specified in the years available cell. " prompt="Enter an End Year." sqref="G68" xr:uid="{00000000-0002-0000-0500-00002C000000}">
      <formula1>MTM_Min_Year</formula1>
      <formula2>MTM_Max_Year</formula2>
    </dataValidation>
    <dataValidation type="list" allowBlank="1" showInputMessage="1" showErrorMessage="1" error="Select X to request the Medicaid Analytic eXtract (MAX) Inpatient (IP) Claims. If you do not need the data, leave the menu as-is." sqref="E82" xr:uid="{00000000-0002-0000-0500-00002D000000}">
      <formula1>"X"</formula1>
    </dataValidation>
    <dataValidation type="list" allowBlank="1" showInputMessage="1" showErrorMessage="1" error="Select X to request the Medicaid Analytic eXtract (MAX) Long Term Care (LT) Claims. If you do not need the data, leave the menu as-is." sqref="E83" xr:uid="{00000000-0002-0000-0500-00002E000000}">
      <formula1>"X"</formula1>
    </dataValidation>
    <dataValidation type="whole" allowBlank="1" showInputMessage="1" showErrorMessage="1" error="Enter Start Year specified in the Year(s) Available cell." sqref="F82" xr:uid="{00000000-0002-0000-0500-00002F000000}">
      <formula1>MAX_IP_Min_Year</formula1>
      <formula2>MAX_IP_Max_Year</formula2>
    </dataValidation>
    <dataValidation type="whole" allowBlank="1" showInputMessage="1" showErrorMessage="1" error="Enter End Year specified in the Year(s) Available cell." sqref="G82" xr:uid="{00000000-0002-0000-0500-000030000000}">
      <formula1>MAX_IP_Min_Year</formula1>
      <formula2>MAX_IP_Max_Year</formula2>
    </dataValidation>
    <dataValidation type="whole" allowBlank="1" showInputMessage="1" showErrorMessage="1" error="Enter Start Year specified in the Year(s) Available cell." sqref="F83" xr:uid="{00000000-0002-0000-0500-000031000000}">
      <formula1>MAX_LT_Min_Year</formula1>
      <formula2>MAX_LT_Max_Year</formula2>
    </dataValidation>
    <dataValidation type="whole" allowBlank="1" showInputMessage="1" showErrorMessage="1" error="Enter End Year specified in the Year(s) Available cell." sqref="G83" xr:uid="{00000000-0002-0000-0500-000032000000}">
      <formula1>MAX_LT_Min_Year</formula1>
      <formula2>MAX_LT_Max_Year</formula2>
    </dataValidation>
    <dataValidation type="whole" allowBlank="1" showInputMessage="1" showErrorMessage="1" error="Enter Start Year specified in the Year(s) Available cell." sqref="F84" xr:uid="{00000000-0002-0000-0500-000033000000}">
      <formula1>MAX_OT_Min_Year</formula1>
      <formula2>MAX_OT_Max_Year</formula2>
    </dataValidation>
    <dataValidation type="whole" allowBlank="1" showInputMessage="1" showErrorMessage="1" error="Enter End Year specified in the Year(s) Available cell." sqref="G84" xr:uid="{00000000-0002-0000-0500-000034000000}">
      <formula1>MAX_OT_Min_Year</formula1>
      <formula2>MAX_OT_Max_Year</formula2>
    </dataValidation>
    <dataValidation type="whole" allowBlank="1" showInputMessage="1" showErrorMessage="1" error="Enter Start Year specified in the Year(s) Available cell." sqref="F85" xr:uid="{00000000-0002-0000-0500-000035000000}">
      <formula1>MAX_RX_Min_Year</formula1>
      <formula2>MAX_RX_Max_Year</formula2>
    </dataValidation>
    <dataValidation type="whole" allowBlank="1" showInputMessage="1" showErrorMessage="1" error="Enter End Year specified in the Year(s) Available cell." sqref="G85" xr:uid="{00000000-0002-0000-0500-000036000000}">
      <formula1>MAX_RX_Min_Year</formula1>
      <formula2>MAX_RX_Max_Year</formula2>
    </dataValidation>
    <dataValidation type="whole" allowBlank="1" showInputMessage="1" showErrorMessage="1" error="Enter Start Year specified in the Year(s) Available cell." sqref="F45" xr:uid="{00000000-0002-0000-0500-000037000000}">
      <formula1>AB_PB_Min_Year</formula1>
      <formula2>AB_PB_Max_Year</formula2>
    </dataValidation>
    <dataValidation type="whole" allowBlank="1" showInputMessage="1" showErrorMessage="1" error="Enter End Year specified in the Year(s) Available cell." sqref="G45" xr:uid="{00000000-0002-0000-0500-000038000000}">
      <formula1>AB_PB_Min_Year</formula1>
      <formula2>AB_PB_Max_Year</formula2>
    </dataValidation>
    <dataValidation type="whole" allowBlank="1" showInputMessage="1" showErrorMessage="1" error="Enter Start Year specified in the Year(s) Available cell." sqref="F46" xr:uid="{00000000-0002-0000-0500-000039000000}">
      <formula1>AB_DM_Min_Year</formula1>
      <formula2>AB_DM_Max_Year</formula2>
    </dataValidation>
    <dataValidation type="whole" allowBlank="1" showInputMessage="1" showErrorMessage="1" error="Enter End Year specified in the Year(s) Available cell." sqref="G46" xr:uid="{00000000-0002-0000-0500-00003A000000}">
      <formula1>AB_DM_Min_Year</formula1>
      <formula2>AB_DM_Max_Year</formula2>
    </dataValidation>
    <dataValidation type="whole" allowBlank="1" showInputMessage="1" showErrorMessage="1" error="Enter Start Year specified in the Year(s) Available cell." sqref="F47" xr:uid="{00000000-0002-0000-0500-00003B000000}">
      <formula1>AB_HH_Min_Year</formula1>
      <formula2>AB_HH_Max_Year</formula2>
    </dataValidation>
    <dataValidation type="whole" allowBlank="1" showInputMessage="1" showErrorMessage="1" error="Enter End Year specified in the Year(s) Available cell." sqref="G47" xr:uid="{00000000-0002-0000-0500-00003C000000}">
      <formula1>AB_HH_Min_Year</formula1>
      <formula2>AB_HH_Max_Year</formula2>
    </dataValidation>
    <dataValidation type="whole" allowBlank="1" showInputMessage="1" showErrorMessage="1" error="Enter Start Year specified in the Year(s) Available cell." sqref="F48" xr:uid="{00000000-0002-0000-0500-00003D000000}">
      <formula1>AB_HS_Min_Year</formula1>
      <formula2>AB_HS_Max_Year</formula2>
    </dataValidation>
    <dataValidation type="whole" allowBlank="1" showInputMessage="1" showErrorMessage="1" error="Enter End Year specified in the Year(s) Available cell." sqref="G48" xr:uid="{00000000-0002-0000-0500-00003E000000}">
      <formula1>AB_HS_Min_Year</formula1>
      <formula2>AB_HS_Max_Year</formula2>
    </dataValidation>
    <dataValidation type="whole" allowBlank="1" showInputMessage="1" showErrorMessage="1" error="Enter Start Year specified in the Year(s) Available cell." sqref="F49" xr:uid="{00000000-0002-0000-0500-00003F000000}">
      <formula1>AB_IP_Min_Year</formula1>
      <formula2>AB_IP_Max_Year</formula2>
    </dataValidation>
    <dataValidation type="whole" allowBlank="1" showInputMessage="1" showErrorMessage="1" error="Enter End Year specified in the Year(s) Available cell." sqref="G49" xr:uid="{00000000-0002-0000-0500-000040000000}">
      <formula1>AB_IP_Min_Year</formula1>
      <formula2>AB_IP_Max_Year</formula2>
    </dataValidation>
    <dataValidation type="whole" allowBlank="1" showInputMessage="1" showErrorMessage="1" error="Enter Start Year specified in the Year(s) Available cell." sqref="F50" xr:uid="{00000000-0002-0000-0500-000041000000}">
      <formula1>AB_OP_Min_Year</formula1>
      <formula2>AB_OP_Max_Year</formula2>
    </dataValidation>
    <dataValidation type="whole" allowBlank="1" showInputMessage="1" showErrorMessage="1" error="Enter End Year specified in the Year(s) Available cell." sqref="G50" xr:uid="{00000000-0002-0000-0500-000042000000}">
      <formula1>AB_OP_Min_Year</formula1>
      <formula2>AB_OP_Max_Year</formula2>
    </dataValidation>
    <dataValidation type="whole" allowBlank="1" showInputMessage="1" showErrorMessage="1" error="Enter Start Year specified in the Year(s) Available cell." sqref="F51" xr:uid="{00000000-0002-0000-0500-000043000000}">
      <formula1>AB_SN_Min_Year</formula1>
      <formula2>AB_SN_Max_Year</formula2>
    </dataValidation>
    <dataValidation type="whole" allowBlank="1" showInputMessage="1" showErrorMessage="1" error="Enter End Year specified in the Year(s) Available cell." sqref="G51" xr:uid="{00000000-0002-0000-0500-000044000000}">
      <formula1>AB_SN_Min_Year</formula1>
      <formula2>AB_SN_Max_Year</formula2>
    </dataValidation>
    <dataValidation allowBlank="1" showInputMessage="1" showErrorMessage="1" prompt="Enter the reason(s) why your study requires Additional Medicare Summary Files and how your requested data is the minimum data needed for your study." sqref="I29" xr:uid="{00000000-0002-0000-0500-000045000000}"/>
    <dataValidation type="list" allowBlank="1" showInputMessage="1" showErrorMessage="1" error="Select X to request Additional Medicare Summary Files. If you do not need these data, leave the menu as-is." prompt="Select X to request Additional Medicare Summary Files. If you do not need these data, leave the menu as-is." sqref="E29" xr:uid="{00000000-0002-0000-0500-000046000000}">
      <formula1>"Select X to Request All Files in Category, X"</formula1>
    </dataValidation>
    <dataValidation type="list" allowBlank="1" showInputMessage="1" showErrorMessage="1" error="Select X to request the Part C Claims Data. If you do not need the data, leave the menu as-is." prompt="Select X to request Part C Claims data. If you do not need these data, leave the menu as-is." sqref="E57" xr:uid="{00000000-0002-0000-0500-000047000000}">
      <formula1>"Select X to Request All Files in Category, X"</formula1>
    </dataValidation>
    <dataValidation allowBlank="1" showInputMessage="1" showErrorMessage="1" prompt="Enter the reason(s) why your study requires Part C Claims data and how your requested data is the minimum data needed for your study." sqref="I57" xr:uid="{00000000-0002-0000-0500-000048000000}"/>
    <dataValidation type="list" allowBlank="1" showInputMessage="1" showErrorMessage="1" sqref="E30:E32 E95 E101 E107 E58:E63" xr:uid="{00000000-0002-0000-0500-000049000000}">
      <formula1>"X"</formula1>
    </dataValidation>
    <dataValidation type="whole" allowBlank="1" showInputMessage="1" showErrorMessage="1" error="Enter a Start Year specified in the years available cell. " prompt="Enter a Start Year. " sqref="F29" xr:uid="{00000000-0002-0000-0500-00004A000000}">
      <formula1>Additional_Medicare_Summary_Files_Min_Year</formula1>
      <formula2>Additional_Medicare_Summary_Files_Max_Year</formula2>
    </dataValidation>
    <dataValidation type="whole" allowBlank="1" showInputMessage="1" showErrorMessage="1" error="Enter an End Year specified in the years available cell. " prompt="Enter an End Year." sqref="G29" xr:uid="{00000000-0002-0000-0500-00004B000000}">
      <formula1>Additional_Medicare_Summary_Files_Min_Year</formula1>
      <formula2>Additional_Medicare_Summary_Files_Max_Year</formula2>
    </dataValidation>
    <dataValidation type="whole" allowBlank="1" showInputMessage="1" showErrorMessage="1" error="Enter Start Year specified in the Year(s) Available cell." sqref="F39" xr:uid="{00000000-0002-0000-0500-00004D000000}">
      <formula1>TMSIS_DE_Min_Year</formula1>
      <formula2>TMSIS_DE_Max_Year</formula2>
    </dataValidation>
    <dataValidation type="whole" allowBlank="1" showInputMessage="1" showErrorMessage="1" error="Enter End Year specified in the Year(s) Available cell." sqref="G39" xr:uid="{00000000-0002-0000-0500-00004E000000}">
      <formula1>TMSIS_DE_Min_Year</formula1>
      <formula2>TMSIS_DE_Max_Year</formula2>
    </dataValidation>
    <dataValidation allowBlank="1" showInputMessage="1" showErrorMessage="1" error="Enter Start Year specified in the Year(s) Available cell." sqref="F86:F89" xr:uid="{00000000-0002-0000-0500-000050000000}"/>
    <dataValidation allowBlank="1" showInputMessage="1" showErrorMessage="1" error="Enter End Year specified in the Year(s) Available cell." sqref="G86:G89" xr:uid="{00000000-0002-0000-0500-000051000000}"/>
    <dataValidation type="whole" allowBlank="1" showInputMessage="1" showErrorMessage="1" error="Enter a Start Year specified in the years available cell. " prompt="Enter a Start Year. " sqref="F57" xr:uid="{C553A5DC-A465-41DA-9CAF-8C57E29E0C74}">
      <formula1>Part_C_Claims_Data_Min_Year</formula1>
      <formula2>Part_C_Claims_Data_Max_Year</formula2>
    </dataValidation>
    <dataValidation type="whole" allowBlank="1" showInputMessage="1" showErrorMessage="1" error="Enter an End Year specified in the years available cell. " prompt="Enter an End Year." sqref="G57" xr:uid="{34628546-471F-4EA8-882F-20CE9F8657A0}">
      <formula1>Part_C_Claims_Data_Min_Year</formula1>
      <formula2>Part_C_Claims_Data_Max_Year</formula2>
    </dataValidation>
    <dataValidation type="whole" allowBlank="1" showInputMessage="1" showErrorMessage="1" sqref="F58:G58" xr:uid="{261C29DA-0609-4BCD-B0D3-02BF434A89AD}">
      <formula1>C_Carrier_Min_Year</formula1>
      <formula2>C_Carrier_Max_Year</formula2>
    </dataValidation>
    <dataValidation type="whole" allowBlank="1" showInputMessage="1" showErrorMessage="1" sqref="F59:G59" xr:uid="{78F5D1EB-BDCC-4894-955E-3AB0B1921CA1}">
      <formula1>C_DME_Min_Year</formula1>
      <formula2>C_DME_Max_Year</formula2>
    </dataValidation>
    <dataValidation type="whole" allowBlank="1" showInputMessage="1" showErrorMessage="1" sqref="F60:G60" xr:uid="{D048C549-1866-400F-B65A-7D7EDEA4CC34}">
      <formula1>C_HH_Min_Year</formula1>
      <formula2>C_HH_Max_Year</formula2>
    </dataValidation>
    <dataValidation type="whole" allowBlank="1" showInputMessage="1" showErrorMessage="1" sqref="F61:G61" xr:uid="{3AD103C0-81E2-4745-93BD-42AE9749F99F}">
      <formula1>C_IP_Min_Year</formula1>
      <formula2>C_IP_Max_Year</formula2>
    </dataValidation>
    <dataValidation type="whole" allowBlank="1" showInputMessage="1" showErrorMessage="1" sqref="F62:G62" xr:uid="{98B93C57-C26A-4032-8476-909B54EB9759}">
      <formula1>C_OP_Min_Year</formula1>
      <formula2>C_OP_Max_Year</formula2>
    </dataValidation>
    <dataValidation type="whole" allowBlank="1" showInputMessage="1" showErrorMessage="1" sqref="F63:G63" xr:uid="{8AB25C75-E846-4995-AE6E-0EFA8A6A62C4}">
      <formula1>C_SNF_Min_Year</formula1>
      <formula2>C_SNF_Max_Year</formula2>
    </dataValidation>
    <dataValidation type="whole" allowBlank="1" showInputMessage="1" showErrorMessage="1" error="Enter an End Year specified in the years available cell. " prompt="Enter an End Year." sqref="G94" xr:uid="{97D13565-1002-4405-B14F-8C796DF4613F}">
      <formula1>IRF_PAI_Min_Year</formula1>
      <formula2>IRF_PAI_Max_Year</formula2>
    </dataValidation>
    <dataValidation type="whole" allowBlank="1" showInputMessage="1" showErrorMessage="1" error="Enter a Start Year specified in the years available cell. " prompt="Enter a Start Year." sqref="F94" xr:uid="{5DE79223-FCFD-4CF6-AE31-16CB77E02528}">
      <formula1>IRF_PAI_Min_Year</formula1>
      <formula2>IRF_PAI_Max_Year</formula2>
    </dataValidation>
    <dataValidation allowBlank="1" showInputMessage="1" showErrorMessage="1" prompt="Enter the reason(s) why your study requires IRF-PAI data and how your requested data is the minimum data needed for your study." sqref="I94" xr:uid="{ACAD4758-A097-470A-9238-0B081FC7F1E8}"/>
    <dataValidation type="list" allowBlank="1" showInputMessage="1" showErrorMessage="1" error="Select X to request the Medicaid Claims Data. If you do not need the data, leave the menu as-is._x000a_" prompt="Select X to request IRF-PAI Data. If you do not need these data, leave the menu as-is." sqref="E94" xr:uid="{FA5DF8F6-C61E-42D9-A162-7786043BA08A}">
      <formula1>"Select X to Request All Files in Category, X"</formula1>
    </dataValidation>
    <dataValidation allowBlank="1" showInputMessage="1" showErrorMessage="1" prompt="Enter the reason(s) why your study requires MDS data and how your requested data is the minimum data needed for your study." sqref="I100" xr:uid="{0BBE4D41-214A-482C-90AC-C0739A850DCC}"/>
    <dataValidation allowBlank="1" showInputMessage="1" showErrorMessage="1" prompt="Enter the reason(s) why your study requires OASIS data and how your requested data is the minimum data needed for your study." sqref="I106" xr:uid="{5D2497A1-F651-4A2A-9D1F-051EE9522752}"/>
    <dataValidation type="whole" allowBlank="1" showInputMessage="1" showErrorMessage="1" sqref="F95:G95" xr:uid="{4E496EC5-ED85-49CE-BB5E-6478736B5FBB}">
      <formula1>IRF_PAI_Min_Year</formula1>
      <formula2>IRF_PAI_Max_Year</formula2>
    </dataValidation>
    <dataValidation type="whole" allowBlank="1" showInputMessage="1" showErrorMessage="1" sqref="F101:G101" xr:uid="{B9C9CF3C-5BB3-4B64-ADF3-EFCF1CA0B5DF}">
      <formula1>MDS_Min_Year</formula1>
      <formula2>MDS_Max_Year</formula2>
    </dataValidation>
    <dataValidation type="whole" allowBlank="1" showInputMessage="1" showErrorMessage="1" sqref="F107:G107" xr:uid="{316EF1C0-D49B-47BB-BB39-DC9730660792}">
      <formula1>OASIS_Min_Year</formula1>
      <formula2>OASIS_Max_Year</formula2>
    </dataValidation>
    <dataValidation type="whole" allowBlank="1" showInputMessage="1" showErrorMessage="1" error="Enter a Start Year specified in the years available cell. " prompt="Enter a Start Year." sqref="F100" xr:uid="{BD2CD395-E801-4D1F-9C61-199AC82509C5}">
      <formula1>MDS_Min_Year</formula1>
      <formula2>MDS_Max_Year</formula2>
    </dataValidation>
    <dataValidation type="whole" allowBlank="1" showInputMessage="1" showErrorMessage="1" error="Enter an End Year specified in the years available cell. " prompt="Enter an End Year." sqref="G100" xr:uid="{C1681862-AEFD-45DC-8F75-70408B2DE695}">
      <formula1>MDS_Min_Year</formula1>
      <formula2>MDS_Max_Year</formula2>
    </dataValidation>
    <dataValidation type="whole" allowBlank="1" showInputMessage="1" showErrorMessage="1" error="Enter a Start Year specified in the years available cell. " prompt="Enter a Start Year." sqref="F106" xr:uid="{4069C545-9205-40EB-BFEC-4E2CCC43F686}">
      <formula1>OASIS_Min_Year</formula1>
      <formula2>OASIS_Max_Year</formula2>
    </dataValidation>
    <dataValidation type="whole" allowBlank="1" showInputMessage="1" showErrorMessage="1" error="Enter an End Year specified in the years available cell. " prompt="Enter an End Year." sqref="G106" xr:uid="{1ECEDDF7-694C-4C1C-887C-02A342EDCACB}">
      <formula1>OASIS_Min_Year</formula1>
      <formula2>OASIS_Max_Year</formula2>
    </dataValidation>
    <dataValidation type="whole" allowBlank="1" showInputMessage="1" showErrorMessage="1" sqref="F30:G30" xr:uid="{0CE88D1B-30FF-4F2C-989F-AEECDE51E71D}">
      <formula1>MBSF_CC_Min_Year</formula1>
      <formula2>MBSF_CC_Max_Year</formula2>
    </dataValidation>
    <dataValidation type="whole" allowBlank="1" showInputMessage="1" showErrorMessage="1" sqref="F31" xr:uid="{835C139A-2AAA-4049-8D87-7A71D835B227}">
      <formula1>MBSF_CU_Min_Year</formula1>
      <formula2>MBSF_CU_Max_Year</formula2>
    </dataValidation>
    <dataValidation type="whole" allowBlank="1" showInputMessage="1" showErrorMessage="1" sqref="G32" xr:uid="{EDE323E7-0BD5-47B8-916E-471E5F54A0BD}">
      <formula1>MBSF_Other_Min_Year</formula1>
      <formula2>MBSF_Other_Max_Year</formula2>
    </dataValidation>
    <dataValidation type="list" allowBlank="1" showInputMessage="1" showErrorMessage="1" error="Select X to request the Part D Drug Data. If you do not need the data, leave the menu as-is._x000a_" prompt="Select X to request Part D Drug Event Data. If you do not need these data, leave the menu as-is." sqref="E74" xr:uid="{9B9E7000-AAB1-4C1C-9A36-D4BB3458B56F}">
      <formula1>"Select X to Request All Files in Category, X"</formula1>
    </dataValidation>
    <dataValidation type="list" allowBlank="1" showInputMessage="1" showErrorMessage="1" error="Select the encryption level that your NIA-affiated survey approved you for." prompt="Select the Variable MASKING LEVEL that the NHATS approved you for." sqref="H22 H29 H37 H44 H57 H68 H74 H81 H94 H106 H100" xr:uid="{40ED70BB-CEB7-4965-9B1E-E3FCB1B5405F}">
      <formula1>"Select a Masking Level, Standard, Provider"</formula1>
    </dataValidation>
    <dataValidation type="list" allowBlank="1" showErrorMessage="1" error="Select the encryption level that your NIA-affiated survey approved you for." sqref="H23:H24 H30:H32 H38:H39 H45:H52 H58:H63 H82:H89 H107 H101 H95 H75 H69" xr:uid="{C1B85577-0A3A-4BAA-BD40-0747946D98E8}">
      <formula1>"Select a Masking Level, Standard, Provider"</formula1>
    </dataValidation>
    <dataValidation allowBlank="1" showInputMessage="1" showErrorMessage="1" prompt="Enter the reason(s) why your study requires Part D Prescription Drug Event data and how your requested data is the minimum data needed for your study." sqref="I74" xr:uid="{91F43F53-80AD-4D6A-B095-9AB055E56FC0}"/>
    <dataValidation type="whole" allowBlank="1" showInputMessage="1" showErrorMessage="1" error="Enter Start Year specified in the Year(s) Available cell." sqref="F75" xr:uid="{8A08C625-08FF-46A2-8337-A989BD7A2DD7}">
      <formula1>PDE_Min_Year</formula1>
      <formula2>PDE_Max_Year</formula2>
    </dataValidation>
    <dataValidation type="whole" allowBlank="1" showInputMessage="1" showErrorMessage="1" error="Enter End Year specified in the Year(s) Available cell." sqref="G75" xr:uid="{9C16A2E0-61FB-453A-973F-420AD5A3F45D}">
      <formula1>PDE_Min_Year</formula1>
      <formula2>PDE_Max_Year</formula2>
    </dataValidation>
    <dataValidation type="whole" allowBlank="1" showInputMessage="1" showErrorMessage="1" error="Enter a Start Year specified in the years available cell. " prompt="Enter a Start Year. " sqref="F74" xr:uid="{C9DEADA3-39E1-41FD-8B7E-E52446895429}">
      <formula1>PDE_Min_Year</formula1>
      <formula2>PDE_Max_Year</formula2>
    </dataValidation>
    <dataValidation type="whole" allowBlank="1" showInputMessage="1" showErrorMessage="1" error="Enter an End Year specified in the years available cell. " prompt="Enter an End Year." sqref="G74" xr:uid="{BEF29307-4002-497E-9DE2-EEC7014A5911}">
      <formula1>PDE_Min_Year</formula1>
      <formula2>PDE_Max_Year</formula2>
    </dataValidation>
    <dataValidation type="list" allowBlank="1" showInputMessage="1" prompt="Select X to request OASIS Data. If you do not need these data, leave the menu as-is." sqref="E106" xr:uid="{A41240FD-2AA1-47D0-A9ED-2E1E1AFD8509}">
      <formula1>"Select X to Request All Files in Category, X"</formula1>
    </dataValidation>
    <dataValidation type="list" allowBlank="1" showInputMessage="1" error="_x000a_" prompt="Select X to request MDS Data. If you do not need these data, leave the menu as-is." sqref="E100" xr:uid="{F9E3EA14-5DA6-4BA6-B346-F20A5206BE5E}">
      <formula1>"Select X to Request All Files in Category, X"</formula1>
    </dataValidation>
  </dataValidations>
  <hyperlinks>
    <hyperlink ref="B25" location="'File-Level_Request'!A1" display="Back to top" xr:uid="{00000000-0004-0000-0500-000000000000}"/>
    <hyperlink ref="B40" location="'File-Level_Request'!A1" display="Back to top" xr:uid="{00000000-0004-0000-0500-000001000000}"/>
    <hyperlink ref="B53" location="'File-Level_Request'!A1" display="Back to top" xr:uid="{00000000-0004-0000-0500-000002000000}"/>
    <hyperlink ref="B70" location="'File-Level_Request'!A1" display="Back to top" xr:uid="{00000000-0004-0000-0500-000003000000}"/>
    <hyperlink ref="B90" location="'File-Level_Request'!A1" display="Back to top" xr:uid="{00000000-0004-0000-0500-000004000000}"/>
    <hyperlink ref="B96" location="'File-Level_Request'!A1" display="Back to top" xr:uid="{00000000-0004-0000-0500-000008000000}"/>
    <hyperlink ref="A4:H4" location="About_Request_Form!A1" display="Before completing this Form, review the About_Request_Form worksheet, which contains critical information on Form fields and their differences relative to ResDAC's CMS data request materials." xr:uid="{00000000-0004-0000-0500-00000A000000}"/>
    <hyperlink ref="B33" location="'File-Level_Request'!A1" display="Back to top" xr:uid="{00000000-0004-0000-0500-00000B000000}"/>
    <hyperlink ref="B64" location="'File-Level_Request'!A1" display="Back to top" xr:uid="{00000000-0004-0000-0500-00000C000000}"/>
    <hyperlink ref="B102" location="'File-Level_Request'!A1" display="Back to top" xr:uid="{9F94BF9A-DF81-46A7-89EA-2B3B9BBF63D7}"/>
    <hyperlink ref="B108" location="'File-Level_Request'!A1" display="Back to top" xr:uid="{D7CFBB63-4CB9-4684-B62F-CB527922B404}"/>
    <hyperlink ref="B76" location="'File-Level_Request'!A1" display="Back to top" xr:uid="{363CD353-E9B1-4578-95C5-1A930BB82697}"/>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97E73"/>
  </sheetPr>
  <dimension ref="A1:F53"/>
  <sheetViews>
    <sheetView showGridLines="0" zoomScaleNormal="100" workbookViewId="0">
      <selection activeCell="A2" sqref="A2"/>
    </sheetView>
  </sheetViews>
  <sheetFormatPr defaultColWidth="8.69140625" defaultRowHeight="17.5" x14ac:dyDescent="0.45"/>
  <cols>
    <col min="1" max="1" width="7.765625" style="171" customWidth="1"/>
    <col min="2" max="2" width="90.69140625" style="171" customWidth="1"/>
    <col min="3" max="5" width="15.69140625" style="171" customWidth="1"/>
    <col min="6" max="6" width="17.23046875" style="171" customWidth="1"/>
    <col min="7" max="18" width="8.69140625" style="25" customWidth="1"/>
    <col min="19" max="16384" width="8.69140625" style="25"/>
  </cols>
  <sheetData>
    <row r="1" spans="1:6" ht="28.4" customHeight="1" x14ac:dyDescent="0.45">
      <c r="A1" s="234" t="s">
        <v>385</v>
      </c>
      <c r="B1" s="241"/>
      <c r="C1" s="241"/>
      <c r="D1" s="241"/>
      <c r="E1" s="241"/>
      <c r="F1" s="145"/>
    </row>
    <row r="2" spans="1:6" ht="29" x14ac:dyDescent="0.65">
      <c r="A2" s="369" t="s">
        <v>30</v>
      </c>
      <c r="B2" s="242"/>
      <c r="C2" s="242"/>
      <c r="D2" s="242"/>
      <c r="E2" s="242"/>
      <c r="F2" s="146"/>
    </row>
    <row r="3" spans="1:6" ht="16" customHeight="1" x14ac:dyDescent="0.75">
      <c r="A3" s="243"/>
      <c r="B3" s="243"/>
      <c r="C3" s="243"/>
      <c r="D3" s="243"/>
      <c r="E3" s="243"/>
      <c r="F3" s="147"/>
    </row>
    <row r="4" spans="1:6" s="27" customFormat="1" ht="37.9" customHeight="1" x14ac:dyDescent="0.45">
      <c r="A4" s="313" t="s">
        <v>553</v>
      </c>
      <c r="B4" s="313"/>
      <c r="C4" s="313"/>
      <c r="D4" s="313"/>
      <c r="E4" s="313"/>
      <c r="F4" s="314"/>
    </row>
    <row r="5" spans="1:6" s="27" customFormat="1" ht="25.15" customHeight="1" x14ac:dyDescent="0.45">
      <c r="A5" s="315" t="s">
        <v>554</v>
      </c>
      <c r="B5" s="313"/>
      <c r="C5" s="313"/>
      <c r="D5" s="313"/>
      <c r="E5" s="313"/>
      <c r="F5" s="314"/>
    </row>
    <row r="6" spans="1:6" ht="37.15" customHeight="1" x14ac:dyDescent="0.45">
      <c r="A6" s="316" t="s">
        <v>555</v>
      </c>
      <c r="B6" s="316"/>
      <c r="C6" s="316"/>
      <c r="D6" s="316"/>
      <c r="E6" s="316"/>
      <c r="F6" s="317"/>
    </row>
    <row r="7" spans="1:6" ht="15" customHeight="1" x14ac:dyDescent="0.45">
      <c r="A7" s="148"/>
      <c r="B7" s="149"/>
      <c r="C7" s="150"/>
      <c r="D7" s="150"/>
      <c r="E7" s="150"/>
      <c r="F7" s="151"/>
    </row>
    <row r="8" spans="1:6" ht="33" x14ac:dyDescent="0.45">
      <c r="A8" s="148"/>
      <c r="B8" s="152" t="s">
        <v>346</v>
      </c>
      <c r="C8" s="152" t="s">
        <v>29</v>
      </c>
      <c r="D8" s="152" t="s">
        <v>1</v>
      </c>
      <c r="E8" s="152" t="s">
        <v>347</v>
      </c>
      <c r="F8" s="151"/>
    </row>
    <row r="9" spans="1:6" x14ac:dyDescent="0.45">
      <c r="A9" s="148"/>
      <c r="B9" s="153" t="s">
        <v>101</v>
      </c>
      <c r="C9" s="153"/>
      <c r="D9" s="154"/>
      <c r="E9" s="155"/>
      <c r="F9" s="151"/>
    </row>
    <row r="10" spans="1:6" x14ac:dyDescent="0.45">
      <c r="A10" s="148"/>
      <c r="B10" s="156" t="s">
        <v>21</v>
      </c>
      <c r="C10" s="156" t="str">
        <f>IF('File-Level_Request'!E23="x","Yes","No")</f>
        <v>No</v>
      </c>
      <c r="D10" s="157" t="str">
        <f>IF(C10="Yes",'File-Level_Request'!D23,"")</f>
        <v/>
      </c>
      <c r="E10" s="157" t="str">
        <f>IF(C10="Yes",CONCATENATE('File-Level_Request'!F23," - ",'File-Level_Request'!G23),"")</f>
        <v/>
      </c>
      <c r="F10" s="151"/>
    </row>
    <row r="11" spans="1:6" x14ac:dyDescent="0.45">
      <c r="A11" s="148"/>
      <c r="B11" s="156" t="s">
        <v>149</v>
      </c>
      <c r="C11" s="156" t="str">
        <f>IF('File-Level_Request'!E24="x","Yes","No")</f>
        <v>No</v>
      </c>
      <c r="D11" s="157" t="str">
        <f>IF(C11="Yes",'File-Level_Request'!D24,"")</f>
        <v/>
      </c>
      <c r="E11" s="157" t="str">
        <f>IF(C11="Yes",CONCATENATE('File-Level_Request'!F24," - ",'File-Level_Request'!G24),"")</f>
        <v/>
      </c>
      <c r="F11" s="151"/>
    </row>
    <row r="12" spans="1:6" x14ac:dyDescent="0.45">
      <c r="A12" s="148"/>
      <c r="B12" s="153" t="s">
        <v>454</v>
      </c>
      <c r="C12" s="153"/>
      <c r="D12" s="154"/>
      <c r="E12" s="155"/>
      <c r="F12" s="151"/>
    </row>
    <row r="13" spans="1:6" x14ac:dyDescent="0.45">
      <c r="A13" s="148"/>
      <c r="B13" s="156" t="s">
        <v>150</v>
      </c>
      <c r="C13" s="156" t="str">
        <f>IF('File-Level_Request'!E30="x","Yes","No")</f>
        <v>No</v>
      </c>
      <c r="D13" s="157" t="str">
        <f>IF(C13="Yes",'File-Level_Request'!D30,"")</f>
        <v/>
      </c>
      <c r="E13" s="157" t="str">
        <f>IF(C13="Yes",CONCATENATE('File-Level_Request'!F30," - ",'File-Level_Request'!G30),"")</f>
        <v/>
      </c>
      <c r="F13" s="151"/>
    </row>
    <row r="14" spans="1:6" x14ac:dyDescent="0.45">
      <c r="A14" s="148"/>
      <c r="B14" s="156" t="s">
        <v>151</v>
      </c>
      <c r="C14" s="156" t="str">
        <f>IF('File-Level_Request'!E31="x","Yes","No")</f>
        <v>No</v>
      </c>
      <c r="D14" s="157" t="str">
        <f>IF(C14="Yes",'File-Level_Request'!D31,"")</f>
        <v/>
      </c>
      <c r="E14" s="157" t="str">
        <f>IF(C14="Yes",CONCATENATE('File-Level_Request'!F31," - ",'File-Level_Request'!G31),"")</f>
        <v/>
      </c>
      <c r="F14" s="151"/>
    </row>
    <row r="15" spans="1:6" x14ac:dyDescent="0.45">
      <c r="A15" s="148"/>
      <c r="B15" s="156" t="s">
        <v>152</v>
      </c>
      <c r="C15" s="156" t="str">
        <f>IF('File-Level_Request'!E32="x","Yes","No")</f>
        <v>No</v>
      </c>
      <c r="D15" s="157" t="str">
        <f>IF(C15="Yes",'File-Level_Request'!D32,"")</f>
        <v/>
      </c>
      <c r="E15" s="157" t="str">
        <f>IF(C15="Yes",CONCATENATE('File-Level_Request'!F32," - ",'File-Level_Request'!G32),"")</f>
        <v/>
      </c>
      <c r="F15" s="151"/>
    </row>
    <row r="16" spans="1:6" x14ac:dyDescent="0.45">
      <c r="A16" s="148"/>
      <c r="B16" s="153" t="s">
        <v>154</v>
      </c>
      <c r="C16" s="153"/>
      <c r="D16" s="154"/>
      <c r="E16" s="155"/>
      <c r="F16" s="151"/>
    </row>
    <row r="17" spans="1:6" x14ac:dyDescent="0.45">
      <c r="A17" s="148"/>
      <c r="B17" s="156" t="s">
        <v>112</v>
      </c>
      <c r="C17" s="156" t="str">
        <f>IF('File-Level_Request'!E38="x","Yes", "No")</f>
        <v>No</v>
      </c>
      <c r="D17" s="157" t="str">
        <f>IF(C17="Yes",'File-Level_Request'!D38,"")</f>
        <v/>
      </c>
      <c r="E17" s="157" t="str">
        <f>IF(C17="Yes",CONCATENATE('File-Level_Request'!F38," - ",'File-Level_Request'!G38),"")</f>
        <v/>
      </c>
      <c r="F17" s="151"/>
    </row>
    <row r="18" spans="1:6" x14ac:dyDescent="0.45">
      <c r="A18" s="148"/>
      <c r="B18" s="156" t="s">
        <v>133</v>
      </c>
      <c r="C18" s="156" t="str">
        <f>IF('File-Level_Request'!E39="x","Yes", "No")</f>
        <v>No</v>
      </c>
      <c r="D18" s="157" t="str">
        <f>IF(C18="Yes",'File-Level_Request'!D39,"")</f>
        <v/>
      </c>
      <c r="E18" s="157" t="str">
        <f>IF(C18="Yes",CONCATENATE('File-Level_Request'!F39," - ",'File-Level_Request'!G39),"")</f>
        <v/>
      </c>
      <c r="F18" s="151"/>
    </row>
    <row r="19" spans="1:6" x14ac:dyDescent="0.45">
      <c r="A19" s="148"/>
      <c r="B19" s="153" t="s">
        <v>102</v>
      </c>
      <c r="C19" s="153"/>
      <c r="D19" s="154"/>
      <c r="E19" s="155"/>
      <c r="F19" s="151"/>
    </row>
    <row r="20" spans="1:6" x14ac:dyDescent="0.45">
      <c r="A20" s="148"/>
      <c r="B20" s="156" t="s">
        <v>118</v>
      </c>
      <c r="C20" s="156" t="str">
        <f>IF('File-Level_Request'!E45="x","Yes", "No")</f>
        <v>No</v>
      </c>
      <c r="D20" s="157" t="str">
        <f>IF(C20="Yes",'File-Level_Request'!D45,"")</f>
        <v/>
      </c>
      <c r="E20" s="157" t="str">
        <f>IF(C20="Yes",CONCATENATE('File-Level_Request'!F45," - ",'File-Level_Request'!G45),"")</f>
        <v/>
      </c>
      <c r="F20" s="151"/>
    </row>
    <row r="21" spans="1:6" x14ac:dyDescent="0.45">
      <c r="A21" s="148"/>
      <c r="B21" s="156" t="s">
        <v>119</v>
      </c>
      <c r="C21" s="156" t="str">
        <f>IF('File-Level_Request'!E46="x","Yes", "No")</f>
        <v>No</v>
      </c>
      <c r="D21" s="157" t="str">
        <f>IF(C21="Yes",'File-Level_Request'!D46,"")</f>
        <v/>
      </c>
      <c r="E21" s="157" t="str">
        <f>IF(C21="Yes",CONCATENATE('File-Level_Request'!F46," - ",'File-Level_Request'!G46),"")</f>
        <v/>
      </c>
      <c r="F21" s="151"/>
    </row>
    <row r="22" spans="1:6" x14ac:dyDescent="0.45">
      <c r="A22" s="148"/>
      <c r="B22" s="156" t="s">
        <v>120</v>
      </c>
      <c r="C22" s="156" t="str">
        <f>IF('File-Level_Request'!E47="x","Yes", "No")</f>
        <v>No</v>
      </c>
      <c r="D22" s="157" t="str">
        <f>IF(C22="Yes",'File-Level_Request'!D47,"")</f>
        <v/>
      </c>
      <c r="E22" s="157" t="str">
        <f>IF(C22="Yes",CONCATENATE('File-Level_Request'!F47," - ",'File-Level_Request'!G47),"")</f>
        <v/>
      </c>
      <c r="F22" s="151"/>
    </row>
    <row r="23" spans="1:6" x14ac:dyDescent="0.45">
      <c r="A23" s="148"/>
      <c r="B23" s="156" t="s">
        <v>121</v>
      </c>
      <c r="C23" s="156" t="str">
        <f>IF('File-Level_Request'!E48="x","Yes", "No")</f>
        <v>No</v>
      </c>
      <c r="D23" s="157" t="str">
        <f>IF(C23="Yes",'File-Level_Request'!D48,"")</f>
        <v/>
      </c>
      <c r="E23" s="157" t="str">
        <f>IF(C23="Yes",CONCATENATE('File-Level_Request'!F48," - ",'File-Level_Request'!G48),"")</f>
        <v/>
      </c>
      <c r="F23" s="151"/>
    </row>
    <row r="24" spans="1:6" x14ac:dyDescent="0.45">
      <c r="A24" s="148"/>
      <c r="B24" s="156" t="s">
        <v>122</v>
      </c>
      <c r="C24" s="156" t="str">
        <f>IF('File-Level_Request'!E49="x","Yes", "No")</f>
        <v>No</v>
      </c>
      <c r="D24" s="157" t="str">
        <f>IF(C24="Yes",'File-Level_Request'!D49,"")</f>
        <v/>
      </c>
      <c r="E24" s="157" t="str">
        <f>IF(C24="Yes",CONCATENATE('File-Level_Request'!F49," - ",'File-Level_Request'!G49),"")</f>
        <v/>
      </c>
      <c r="F24" s="151"/>
    </row>
    <row r="25" spans="1:6" x14ac:dyDescent="0.45">
      <c r="A25" s="148"/>
      <c r="B25" s="156" t="s">
        <v>124</v>
      </c>
      <c r="C25" s="156" t="str">
        <f>IF('File-Level_Request'!E50="x","Yes", "No")</f>
        <v>No</v>
      </c>
      <c r="D25" s="157" t="str">
        <f>IF(C25="Yes",'File-Level_Request'!D50,"")</f>
        <v/>
      </c>
      <c r="E25" s="157" t="str">
        <f>IF(C25="Yes",CONCATENATE('File-Level_Request'!F50," - ",'File-Level_Request'!G50),"")</f>
        <v/>
      </c>
      <c r="F25" s="151"/>
    </row>
    <row r="26" spans="1:6" x14ac:dyDescent="0.45">
      <c r="A26" s="148"/>
      <c r="B26" s="156" t="s">
        <v>125</v>
      </c>
      <c r="C26" s="156" t="str">
        <f>IF('File-Level_Request'!E51="x","Yes", "No")</f>
        <v>No</v>
      </c>
      <c r="D26" s="157" t="str">
        <f>IF(C26="Yes",'File-Level_Request'!D51,"")</f>
        <v/>
      </c>
      <c r="E26" s="157" t="str">
        <f>IF(C26="Yes",CONCATENATE('File-Level_Request'!F51," - ",'File-Level_Request'!G51),"")</f>
        <v/>
      </c>
      <c r="F26" s="151"/>
    </row>
    <row r="27" spans="1:6" x14ac:dyDescent="0.45">
      <c r="A27" s="148"/>
      <c r="B27" s="156" t="s">
        <v>508</v>
      </c>
      <c r="C27" s="156" t="str">
        <f>IF('File-Level_Request'!E52="x","Yes", "No")</f>
        <v>No</v>
      </c>
      <c r="D27" s="157" t="str">
        <f>IF(C27="Yes",'File-Level_Request'!D52,"")</f>
        <v/>
      </c>
      <c r="E27" s="157" t="str">
        <f>IF(C27="Yes",CONCATENATE('File-Level_Request'!F52," - ",'File-Level_Request'!G52),"")</f>
        <v/>
      </c>
      <c r="F27" s="151"/>
    </row>
    <row r="28" spans="1:6" x14ac:dyDescent="0.45">
      <c r="A28" s="148"/>
      <c r="B28" s="153" t="s">
        <v>455</v>
      </c>
      <c r="C28" s="158"/>
      <c r="D28" s="159"/>
      <c r="E28" s="160"/>
      <c r="F28" s="151"/>
    </row>
    <row r="29" spans="1:6" x14ac:dyDescent="0.45">
      <c r="A29" s="148"/>
      <c r="B29" s="156" t="s">
        <v>126</v>
      </c>
      <c r="C29" s="156" t="str">
        <f>IF('File-Level_Request'!E58="x","Yes", "No")</f>
        <v>No</v>
      </c>
      <c r="D29" s="157" t="str">
        <f>IF(C29="Yes",'File-Level_Request'!D58,"")</f>
        <v/>
      </c>
      <c r="E29" s="157" t="str">
        <f>IF(C29="Yes",CONCATENATE('File-Level_Request'!F58," - ",'File-Level_Request'!G58),"")</f>
        <v/>
      </c>
      <c r="F29" s="151"/>
    </row>
    <row r="30" spans="1:6" x14ac:dyDescent="0.45">
      <c r="A30" s="148"/>
      <c r="B30" s="156" t="s">
        <v>127</v>
      </c>
      <c r="C30" s="156" t="str">
        <f>IF('File-Level_Request'!E59="x","Yes", "No")</f>
        <v>No</v>
      </c>
      <c r="D30" s="157" t="str">
        <f>IF(C30="Yes",'File-Level_Request'!D59,"")</f>
        <v/>
      </c>
      <c r="E30" s="157" t="str">
        <f>IF(C30="Yes",CONCATENATE('File-Level_Request'!F59," - ",'File-Level_Request'!G59),"")</f>
        <v/>
      </c>
      <c r="F30" s="151"/>
    </row>
    <row r="31" spans="1:6" x14ac:dyDescent="0.45">
      <c r="A31" s="148"/>
      <c r="B31" s="156" t="s">
        <v>128</v>
      </c>
      <c r="C31" s="156" t="str">
        <f>IF('File-Level_Request'!E60="x","Yes", "No")</f>
        <v>No</v>
      </c>
      <c r="D31" s="157" t="str">
        <f>IF(C31="Yes",'File-Level_Request'!D60,"")</f>
        <v/>
      </c>
      <c r="E31" s="157" t="str">
        <f>IF(C31="Yes",CONCATENATE('File-Level_Request'!F60," - ",'File-Level_Request'!G60),"")</f>
        <v/>
      </c>
      <c r="F31" s="151"/>
    </row>
    <row r="32" spans="1:6" x14ac:dyDescent="0.45">
      <c r="A32" s="148"/>
      <c r="B32" s="156" t="s">
        <v>129</v>
      </c>
      <c r="C32" s="156" t="str">
        <f>IF('File-Level_Request'!E61="x","Yes", "No")</f>
        <v>No</v>
      </c>
      <c r="D32" s="157" t="str">
        <f>IF(C32="Yes",'File-Level_Request'!D61,"")</f>
        <v/>
      </c>
      <c r="E32" s="157" t="str">
        <f>IF(C32="Yes",CONCATENATE('File-Level_Request'!F61," - ",'File-Level_Request'!G61),"")</f>
        <v/>
      </c>
      <c r="F32" s="151"/>
    </row>
    <row r="33" spans="1:6" x14ac:dyDescent="0.45">
      <c r="A33" s="148"/>
      <c r="B33" s="156" t="s">
        <v>130</v>
      </c>
      <c r="C33" s="156" t="str">
        <f>IF('File-Level_Request'!E62="x","Yes", "No")</f>
        <v>No</v>
      </c>
      <c r="D33" s="157" t="str">
        <f>IF(C33="Yes",'File-Level_Request'!D62,"")</f>
        <v/>
      </c>
      <c r="E33" s="157" t="str">
        <f>IF(C33="Yes",CONCATENATE('File-Level_Request'!F62," - ",'File-Level_Request'!G62),"")</f>
        <v/>
      </c>
      <c r="F33" s="151"/>
    </row>
    <row r="34" spans="1:6" x14ac:dyDescent="0.45">
      <c r="A34" s="148"/>
      <c r="B34" s="156" t="s">
        <v>131</v>
      </c>
      <c r="C34" s="156" t="str">
        <f>IF('File-Level_Request'!E63="x","Yes", "No")</f>
        <v>No</v>
      </c>
      <c r="D34" s="157" t="str">
        <f>IF(C34="Yes",'File-Level_Request'!D63,"")</f>
        <v/>
      </c>
      <c r="E34" s="157" t="str">
        <f>IF(C34="Yes",CONCATENATE('File-Level_Request'!F63," - ",'File-Level_Request'!G63),"")</f>
        <v/>
      </c>
      <c r="F34" s="151"/>
    </row>
    <row r="35" spans="1:6" x14ac:dyDescent="0.45">
      <c r="A35" s="148"/>
      <c r="B35" s="161" t="s">
        <v>103</v>
      </c>
      <c r="C35" s="158" t="str">
        <f>IF('File-Level_Request'!E69="x","Yes", "No")</f>
        <v>No</v>
      </c>
      <c r="D35" s="159" t="str">
        <f>IF(C35="Yes",'File-Level_Request'!D69,"")</f>
        <v/>
      </c>
      <c r="E35" s="160" t="str">
        <f>IF(C35="Yes",CONCATENATE('File-Level_Request'!F69," - ",'File-Level_Request'!G69),"")</f>
        <v/>
      </c>
      <c r="F35" s="151"/>
    </row>
    <row r="36" spans="1:6" x14ac:dyDescent="0.45">
      <c r="A36" s="148"/>
      <c r="B36" s="153" t="s">
        <v>607</v>
      </c>
      <c r="C36" s="153" t="str">
        <f>IF('File-Level_Request'!E75="x","Yes", "No")</f>
        <v>No</v>
      </c>
      <c r="D36" s="154" t="str">
        <f>IF(C36="Yes",'File-Level_Request'!D75,"")</f>
        <v/>
      </c>
      <c r="E36" s="155" t="str">
        <f>IF(C36="Yes",CONCATENATE('File-Level_Request'!F75," - ",'File-Level_Request'!G75),"")</f>
        <v/>
      </c>
      <c r="F36" s="151"/>
    </row>
    <row r="37" spans="1:6" x14ac:dyDescent="0.45">
      <c r="A37" s="148"/>
      <c r="B37" s="158" t="s">
        <v>155</v>
      </c>
      <c r="C37" s="158"/>
      <c r="D37" s="159"/>
      <c r="E37" s="160"/>
      <c r="F37" s="151"/>
    </row>
    <row r="38" spans="1:6" x14ac:dyDescent="0.45">
      <c r="A38" s="148"/>
      <c r="B38" s="156" t="s">
        <v>109</v>
      </c>
      <c r="C38" s="156" t="str">
        <f>IF('File-Level_Request'!E82="x","Yes", "No")</f>
        <v>No</v>
      </c>
      <c r="D38" s="157" t="str">
        <f>IF(C38="Yes",'File-Level_Request'!D82,"")</f>
        <v/>
      </c>
      <c r="E38" s="157" t="str">
        <f>IF(C38="Yes",CONCATENATE('File-Level_Request'!F82," - ",'File-Level_Request'!G82),"")</f>
        <v/>
      </c>
      <c r="F38" s="151"/>
    </row>
    <row r="39" spans="1:6" x14ac:dyDescent="0.45">
      <c r="A39" s="148"/>
      <c r="B39" s="156" t="s">
        <v>110</v>
      </c>
      <c r="C39" s="156" t="str">
        <f>IF('File-Level_Request'!E83="x","Yes", "No")</f>
        <v>No</v>
      </c>
      <c r="D39" s="157" t="str">
        <f>IF(C39="Yes",'File-Level_Request'!D83,"")</f>
        <v/>
      </c>
      <c r="E39" s="157" t="str">
        <f>IF(C39="Yes",CONCATENATE('File-Level_Request'!F83," - ",'File-Level_Request'!G83),"")</f>
        <v/>
      </c>
      <c r="F39" s="151"/>
    </row>
    <row r="40" spans="1:6" x14ac:dyDescent="0.45">
      <c r="A40" s="148"/>
      <c r="B40" s="156" t="s">
        <v>111</v>
      </c>
      <c r="C40" s="156" t="str">
        <f>IF('File-Level_Request'!E84="x","Yes", "No")</f>
        <v>No</v>
      </c>
      <c r="D40" s="157" t="str">
        <f>IF(C40="Yes",'File-Level_Request'!D84,"")</f>
        <v/>
      </c>
      <c r="E40" s="157" t="str">
        <f>IF(C40="Yes",CONCATENATE('File-Level_Request'!F84," - ",'File-Level_Request'!G84),"")</f>
        <v/>
      </c>
      <c r="F40" s="151"/>
    </row>
    <row r="41" spans="1:6" x14ac:dyDescent="0.45">
      <c r="A41" s="148"/>
      <c r="B41" s="156" t="s">
        <v>114</v>
      </c>
      <c r="C41" s="156" t="str">
        <f>IF('File-Level_Request'!E85="x","Yes", "No")</f>
        <v>No</v>
      </c>
      <c r="D41" s="157" t="str">
        <f>IF(C41="Yes",'File-Level_Request'!D85,"")</f>
        <v/>
      </c>
      <c r="E41" s="157" t="str">
        <f>IF(C41="Yes",CONCATENATE('File-Level_Request'!F85," - ",'File-Level_Request'!G85),"")</f>
        <v/>
      </c>
      <c r="F41" s="151"/>
    </row>
    <row r="42" spans="1:6" x14ac:dyDescent="0.45">
      <c r="A42" s="148"/>
      <c r="B42" s="156" t="s">
        <v>134</v>
      </c>
      <c r="C42" s="156" t="str">
        <f>IF('File-Level_Request'!E86="x","Yes", "No")</f>
        <v>No</v>
      </c>
      <c r="D42" s="157" t="str">
        <f>IF(C42="Yes",'File-Level_Request'!D86,"")</f>
        <v/>
      </c>
      <c r="E42" s="157" t="str">
        <f>IF(C42="Yes",CONCATENATE('File-Level_Request'!F86," - ",'File-Level_Request'!G86),"")</f>
        <v/>
      </c>
      <c r="F42" s="151"/>
    </row>
    <row r="43" spans="1:6" x14ac:dyDescent="0.45">
      <c r="A43" s="148"/>
      <c r="B43" s="156" t="s">
        <v>135</v>
      </c>
      <c r="C43" s="156" t="str">
        <f>IF('File-Level_Request'!E87="x","Yes", "No")</f>
        <v>No</v>
      </c>
      <c r="D43" s="157" t="str">
        <f>IF(C43="Yes",'File-Level_Request'!D87,"")</f>
        <v/>
      </c>
      <c r="E43" s="157" t="str">
        <f>IF(C43="Yes",CONCATENATE('File-Level_Request'!F87," - ",'File-Level_Request'!G87),"")</f>
        <v/>
      </c>
      <c r="F43" s="151"/>
    </row>
    <row r="44" spans="1:6" x14ac:dyDescent="0.45">
      <c r="A44" s="148"/>
      <c r="B44" s="156" t="s">
        <v>136</v>
      </c>
      <c r="C44" s="156" t="str">
        <f>IF('File-Level_Request'!E88="x","Yes", "No")</f>
        <v>No</v>
      </c>
      <c r="D44" s="157" t="str">
        <f>IF(C44="Yes",'File-Level_Request'!D88,"")</f>
        <v/>
      </c>
      <c r="E44" s="157" t="str">
        <f>IF(C44="Yes",CONCATENATE('File-Level_Request'!F88," - ",'File-Level_Request'!G88),"")</f>
        <v/>
      </c>
      <c r="F44" s="151"/>
    </row>
    <row r="45" spans="1:6" x14ac:dyDescent="0.45">
      <c r="A45" s="148"/>
      <c r="B45" s="156" t="s">
        <v>137</v>
      </c>
      <c r="C45" s="156" t="str">
        <f>IF('File-Level_Request'!E89="x","Yes", "No")</f>
        <v>No</v>
      </c>
      <c r="D45" s="157" t="str">
        <f>IF(C45="Yes",'File-Level_Request'!D89,"")</f>
        <v/>
      </c>
      <c r="E45" s="157" t="str">
        <f>IF(C45="Yes",CONCATENATE('File-Level_Request'!F89," - ",'File-Level_Request'!G89),"")</f>
        <v/>
      </c>
      <c r="F45" s="151"/>
    </row>
    <row r="46" spans="1:6" x14ac:dyDescent="0.45">
      <c r="A46" s="148"/>
      <c r="B46" s="161" t="s">
        <v>56</v>
      </c>
      <c r="C46" s="161" t="str">
        <f>IF(COUNTIF('File-Level_Request'!E94:E95,"X")&gt;0,"Yes","No")</f>
        <v>No</v>
      </c>
      <c r="D46" s="162" t="str">
        <f>IF(C46="Yes",'File-Level_Request'!D95,"")</f>
        <v/>
      </c>
      <c r="E46" s="163" t="str">
        <f>IF(C46="Yes",CONCATENATE('File-Level_Request'!F95," - ",'File-Level_Request'!G95),"")</f>
        <v/>
      </c>
      <c r="F46" s="151"/>
    </row>
    <row r="47" spans="1:6" x14ac:dyDescent="0.45">
      <c r="A47" s="148"/>
      <c r="B47" s="164" t="s">
        <v>460</v>
      </c>
      <c r="C47" s="161" t="str">
        <f>IF(COUNTIF('File-Level_Request'!E100:E101,"X")&gt;0,"Yes","No")</f>
        <v>No</v>
      </c>
      <c r="D47" s="162" t="str">
        <f>IF(C47="Yes",'File-Level_Request'!D101,"")</f>
        <v/>
      </c>
      <c r="E47" s="163" t="str">
        <f>IF(C47="Yes",CONCATENATE('File-Level_Request'!F101," - ",'File-Level_Request'!G101),"")</f>
        <v/>
      </c>
      <c r="F47" s="151"/>
    </row>
    <row r="48" spans="1:6" x14ac:dyDescent="0.45">
      <c r="A48" s="148"/>
      <c r="B48" s="161" t="s">
        <v>107</v>
      </c>
      <c r="C48" s="161" t="str">
        <f>IF(COUNTIF('File-Level_Request'!E106:E107,"X")&gt;0,"Yes","No")</f>
        <v>No</v>
      </c>
      <c r="D48" s="162" t="str">
        <f>IF(C48="Yes",'File-Level_Request'!D107,"")</f>
        <v/>
      </c>
      <c r="E48" s="163" t="str">
        <f>IF(C48="Yes",CONCATENATE('File-Level_Request'!F107," - ",'File-Level_Request'!G107),"")</f>
        <v/>
      </c>
      <c r="F48" s="151"/>
    </row>
    <row r="49" spans="1:6" x14ac:dyDescent="0.45">
      <c r="A49" s="148"/>
      <c r="B49" s="165"/>
      <c r="C49" s="166"/>
      <c r="D49" s="150"/>
      <c r="E49" s="167"/>
      <c r="F49" s="151"/>
    </row>
    <row r="50" spans="1:6" x14ac:dyDescent="0.45">
      <c r="A50" s="148"/>
      <c r="B50" s="168" t="s">
        <v>400</v>
      </c>
      <c r="C50" s="275" t="str">
        <f>IF(OR(AND((COUNTA(Research_Project_Info!C11:F13)+COUNTA(Research_Project_Info!C17:F21))&gt;=8,SelectSurvey&lt;&gt;0, Research_Project_Info!C14&lt;&gt;"Select a Response",SelectSoftware&lt;&gt;0),COUNTA(CMS_DUA_Info)+COUNTA(Research_Project_Info!C33:F37)&gt;=6),"Complete","Research_Project_Info tab is incomplete.")</f>
        <v>Research_Project_Info tab is incomplete.</v>
      </c>
      <c r="D50" s="275"/>
      <c r="E50" s="276"/>
      <c r="F50" s="151"/>
    </row>
    <row r="51" spans="1:6" x14ac:dyDescent="0.45">
      <c r="A51" s="148"/>
      <c r="B51" s="150"/>
      <c r="C51" s="150"/>
      <c r="D51" s="150"/>
      <c r="E51" s="150"/>
      <c r="F51" s="151"/>
    </row>
    <row r="52" spans="1:6" x14ac:dyDescent="0.45">
      <c r="A52" s="148"/>
      <c r="B52" s="150"/>
      <c r="C52" s="150"/>
      <c r="D52" s="150"/>
      <c r="E52" s="150"/>
      <c r="F52" s="151"/>
    </row>
    <row r="53" spans="1:6" s="28" customFormat="1" ht="35.25" customHeight="1" x14ac:dyDescent="0.45">
      <c r="A53" s="169"/>
      <c r="B53" s="280" t="s">
        <v>500</v>
      </c>
      <c r="C53" s="251"/>
      <c r="D53" s="251"/>
      <c r="E53" s="251"/>
      <c r="F53" s="170"/>
    </row>
  </sheetData>
  <sheetProtection algorithmName="SHA-512" hashValue="1RA7zBKUqD/arNuGIc5C9n4BxcuUk6xHEv22pK2qfZej/oePeAu4C4n3YeyZEwnSBN7Dz5t0oQyWytDV2CoDEg==" saltValue="o75bnzTxvptzPkUIsy9yag==" spinCount="100000" sheet="1" objects="1" scenarios="1" formatCells="0" formatColumns="0" formatRows="0"/>
  <dataConsolidate/>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6E1"/>
  </sheetPr>
  <dimension ref="A1:D17"/>
  <sheetViews>
    <sheetView zoomScaleNormal="100" workbookViewId="0">
      <selection activeCell="A2" sqref="A2"/>
    </sheetView>
  </sheetViews>
  <sheetFormatPr defaultColWidth="8.69140625" defaultRowHeight="17.5" x14ac:dyDescent="0.45"/>
  <cols>
    <col min="1" max="1" width="7.765625" style="33" customWidth="1"/>
    <col min="2" max="2" width="24.4609375" style="33" customWidth="1"/>
    <col min="3" max="3" width="125.69140625" style="33" customWidth="1"/>
    <col min="4" max="4" width="8.69140625" style="33"/>
    <col min="5" max="16384" width="8.69140625" style="26"/>
  </cols>
  <sheetData>
    <row r="1" spans="1:4" ht="28.4" customHeight="1" x14ac:dyDescent="0.45">
      <c r="A1" s="234" t="s">
        <v>385</v>
      </c>
      <c r="B1" s="172"/>
      <c r="C1" s="172"/>
      <c r="D1" s="173"/>
    </row>
    <row r="2" spans="1:4" ht="29" x14ac:dyDescent="0.65">
      <c r="A2" s="369" t="s">
        <v>31</v>
      </c>
      <c r="B2" s="146"/>
      <c r="C2" s="146"/>
      <c r="D2" s="146"/>
    </row>
    <row r="3" spans="1:4" ht="16" customHeight="1" x14ac:dyDescent="0.75">
      <c r="A3" s="244"/>
      <c r="B3" s="174"/>
      <c r="C3" s="174"/>
      <c r="D3" s="146"/>
    </row>
    <row r="4" spans="1:4" ht="40.4" customHeight="1" x14ac:dyDescent="0.45">
      <c r="A4" s="318" t="s">
        <v>510</v>
      </c>
      <c r="B4" s="319"/>
      <c r="C4" s="320"/>
      <c r="D4" s="321"/>
    </row>
    <row r="5" spans="1:4" ht="15" customHeight="1" x14ac:dyDescent="0.45">
      <c r="A5" s="175"/>
      <c r="B5" s="176"/>
      <c r="C5" s="176"/>
      <c r="D5" s="177"/>
    </row>
    <row r="6" spans="1:4" x14ac:dyDescent="0.45">
      <c r="A6" s="178"/>
      <c r="B6" s="152" t="s">
        <v>35</v>
      </c>
      <c r="C6" s="152" t="s">
        <v>36</v>
      </c>
      <c r="D6" s="177"/>
    </row>
    <row r="7" spans="1:4" ht="58.4" customHeight="1" x14ac:dyDescent="0.45">
      <c r="A7" s="178"/>
      <c r="B7" s="179" t="s">
        <v>56</v>
      </c>
      <c r="C7" s="179" t="s">
        <v>392</v>
      </c>
      <c r="D7" s="177"/>
    </row>
    <row r="8" spans="1:4" ht="99" x14ac:dyDescent="0.45">
      <c r="A8" s="178"/>
      <c r="B8" s="200" t="s">
        <v>98</v>
      </c>
      <c r="C8" s="200" t="s">
        <v>99</v>
      </c>
      <c r="D8" s="177"/>
    </row>
    <row r="9" spans="1:4" ht="230.5" customHeight="1" x14ac:dyDescent="0.45">
      <c r="A9" s="178"/>
      <c r="B9" s="179" t="s">
        <v>100</v>
      </c>
      <c r="C9" s="179" t="s">
        <v>550</v>
      </c>
      <c r="D9" s="177"/>
    </row>
    <row r="10" spans="1:4" ht="238.15" customHeight="1" x14ac:dyDescent="0.45">
      <c r="A10" s="178"/>
      <c r="B10" s="200" t="s">
        <v>101</v>
      </c>
      <c r="C10" s="200" t="s">
        <v>163</v>
      </c>
      <c r="D10" s="177"/>
    </row>
    <row r="11" spans="1:4" ht="409.5" customHeight="1" x14ac:dyDescent="0.45">
      <c r="A11" s="178"/>
      <c r="B11" s="179" t="s">
        <v>102</v>
      </c>
      <c r="C11" s="179" t="s">
        <v>511</v>
      </c>
      <c r="D11" s="177"/>
    </row>
    <row r="12" spans="1:4" ht="58.4" customHeight="1" x14ac:dyDescent="0.45">
      <c r="A12" s="178"/>
      <c r="B12" s="200" t="s">
        <v>103</v>
      </c>
      <c r="C12" s="200" t="s">
        <v>104</v>
      </c>
      <c r="D12" s="177"/>
    </row>
    <row r="13" spans="1:4" ht="58.4" customHeight="1" x14ac:dyDescent="0.45">
      <c r="A13" s="178"/>
      <c r="B13" s="179" t="s">
        <v>105</v>
      </c>
      <c r="C13" s="179" t="s">
        <v>106</v>
      </c>
      <c r="D13" s="177"/>
    </row>
    <row r="14" spans="1:4" ht="82.5" x14ac:dyDescent="0.45">
      <c r="A14" s="178"/>
      <c r="B14" s="200" t="s">
        <v>107</v>
      </c>
      <c r="C14" s="200" t="s">
        <v>108</v>
      </c>
      <c r="D14" s="177"/>
    </row>
    <row r="15" spans="1:4" ht="290.14999999999998" customHeight="1" x14ac:dyDescent="0.45">
      <c r="A15" s="178"/>
      <c r="B15" s="179" t="s">
        <v>456</v>
      </c>
      <c r="C15" s="179" t="s">
        <v>551</v>
      </c>
      <c r="D15" s="180"/>
    </row>
    <row r="16" spans="1:4" ht="239.5" customHeight="1" x14ac:dyDescent="0.45">
      <c r="A16" s="178"/>
      <c r="B16" s="200" t="s">
        <v>457</v>
      </c>
      <c r="C16" s="200" t="s">
        <v>552</v>
      </c>
      <c r="D16" s="180"/>
    </row>
    <row r="17" spans="1:4" ht="46.9" customHeight="1" x14ac:dyDescent="0.45">
      <c r="A17" s="181"/>
      <c r="B17" s="281" t="s">
        <v>500</v>
      </c>
      <c r="C17" s="252"/>
      <c r="D17" s="182"/>
    </row>
  </sheetData>
  <sheetProtection algorithmName="SHA-512" hashValue="LGViCvXOS/ajiauvnWWRYwlylfhH4fxXJLfjXZS2x7zvqVwxROwaw6J6LPSxFzf5YlG0Gm+E3cN46zSv6S0tOw==" saltValue="ELjinL0vb6qf7slCAomVfQ==" spinCount="100000" sheet="1" objects="1" scenarios="1" formatCells="0" formatColumns="0" formatRows="0"/>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6E1"/>
  </sheetPr>
  <dimension ref="A1:F21"/>
  <sheetViews>
    <sheetView showGridLines="0" zoomScaleNormal="100" workbookViewId="0">
      <selection activeCell="A2" sqref="A2"/>
    </sheetView>
  </sheetViews>
  <sheetFormatPr defaultColWidth="8.69140625" defaultRowHeight="17.5" x14ac:dyDescent="0.45"/>
  <cols>
    <col min="1" max="1" width="7.765625" style="171" customWidth="1"/>
    <col min="2" max="2" width="94.4609375" style="171" customWidth="1"/>
    <col min="3" max="5" width="15.53515625" style="171" customWidth="1"/>
    <col min="6" max="6" width="19.23046875" style="171" customWidth="1"/>
    <col min="7" max="16384" width="8.69140625" style="25"/>
  </cols>
  <sheetData>
    <row r="1" spans="1:6" ht="28.4" customHeight="1" x14ac:dyDescent="0.45">
      <c r="A1" s="234" t="s">
        <v>385</v>
      </c>
      <c r="B1" s="241"/>
      <c r="C1" s="241"/>
      <c r="D1" s="241"/>
      <c r="E1" s="241"/>
      <c r="F1" s="145"/>
    </row>
    <row r="2" spans="1:6" ht="30" customHeight="1" x14ac:dyDescent="0.65">
      <c r="A2" s="369" t="s">
        <v>465</v>
      </c>
      <c r="B2" s="245"/>
      <c r="C2" s="245"/>
      <c r="D2" s="245"/>
      <c r="E2" s="245"/>
      <c r="F2" s="183"/>
    </row>
    <row r="3" spans="1:6" ht="20.25" customHeight="1" x14ac:dyDescent="0.7">
      <c r="A3" s="235"/>
      <c r="B3" s="235"/>
      <c r="C3" s="235"/>
      <c r="D3" s="235"/>
      <c r="E3" s="235"/>
      <c r="F3" s="183"/>
    </row>
    <row r="4" spans="1:6" ht="39" customHeight="1" x14ac:dyDescent="0.45">
      <c r="A4" s="322" t="s">
        <v>609</v>
      </c>
      <c r="B4" s="322"/>
      <c r="C4" s="322"/>
      <c r="D4" s="322"/>
      <c r="E4" s="322"/>
      <c r="F4" s="323"/>
    </row>
    <row r="5" spans="1:6" s="28" customFormat="1" ht="19.899999999999999" customHeight="1" x14ac:dyDescent="0.45">
      <c r="A5" s="324" t="s">
        <v>557</v>
      </c>
      <c r="B5" s="324"/>
      <c r="C5" s="324"/>
      <c r="D5" s="324"/>
      <c r="E5" s="324"/>
      <c r="F5" s="325"/>
    </row>
    <row r="6" spans="1:6" s="28" customFormat="1" ht="46.9" customHeight="1" x14ac:dyDescent="0.45">
      <c r="A6" s="326" t="s">
        <v>556</v>
      </c>
      <c r="B6" s="324"/>
      <c r="C6" s="324"/>
      <c r="D6" s="324"/>
      <c r="E6" s="324"/>
      <c r="F6" s="325"/>
    </row>
    <row r="7" spans="1:6" ht="28.5" customHeight="1" x14ac:dyDescent="0.45">
      <c r="A7" s="184"/>
      <c r="B7" s="185" t="str">
        <f>IF(SelectSurvey=0,"IDENTIFIER MASKING SPECS BY VERSION",CONCATENATE("IDENTIFIER MASKING SPECS BY VERSION - ",VLOOKUP(SelectSurvey,SurveyNameLookUp,2,FALSE)))</f>
        <v>IDENTIFIER MASKING SPECS BY VERSION - National Health and Aging Trends Study</v>
      </c>
      <c r="C7" s="185"/>
      <c r="D7" s="185"/>
      <c r="E7" s="185"/>
      <c r="F7" s="184"/>
    </row>
    <row r="8" spans="1:6" x14ac:dyDescent="0.45">
      <c r="A8" s="184"/>
      <c r="B8" s="152" t="s">
        <v>57</v>
      </c>
      <c r="C8" s="152" t="s">
        <v>5</v>
      </c>
      <c r="D8" s="152" t="s">
        <v>33</v>
      </c>
      <c r="E8" s="152" t="s">
        <v>34</v>
      </c>
      <c r="F8" s="184"/>
    </row>
    <row r="9" spans="1:6" x14ac:dyDescent="0.45">
      <c r="A9" s="184"/>
      <c r="B9" s="201" t="s">
        <v>58</v>
      </c>
      <c r="C9" s="201" t="str">
        <f>_xlfn.IFNA(VLOOKUP(CONCATENATE(StudyName,B9),Data_Version!D:G,2,FALSE),"")</f>
        <v>Dropped</v>
      </c>
      <c r="D9" s="201" t="str">
        <f>_xlfn.IFNA(VLOOKUP(CONCATENATE(StudyName,B9),Data_Version!D:G,3,FALSE),"")</f>
        <v>N/A</v>
      </c>
      <c r="E9" s="201" t="str">
        <f>_xlfn.IFNA(VLOOKUP(CONCATENATE(StudyName,B9),Data_Version!D:G,4,FALSE),"")</f>
        <v>Dropped</v>
      </c>
      <c r="F9" s="184"/>
    </row>
    <row r="10" spans="1:6" x14ac:dyDescent="0.45">
      <c r="A10" s="184"/>
      <c r="B10" s="186" t="s">
        <v>59</v>
      </c>
      <c r="C10" s="186" t="str">
        <f>_xlfn.IFNA(VLOOKUP(CONCATENATE(StudyName,B10),Data_Version!D:G,2,FALSE),"")</f>
        <v>Dropped</v>
      </c>
      <c r="D10" s="186" t="str">
        <f>_xlfn.IFNA(VLOOKUP(CONCATENATE(StudyName,B10),Data_Version!D:G,3,FALSE),"")</f>
        <v>N/A</v>
      </c>
      <c r="E10" s="186" t="str">
        <f>_xlfn.IFNA(VLOOKUP(CONCATENATE(StudyName,B10),Data_Version!D:G,4,FALSE),"")</f>
        <v>Dropped</v>
      </c>
      <c r="F10" s="184"/>
    </row>
    <row r="11" spans="1:6" x14ac:dyDescent="0.45">
      <c r="A11" s="184"/>
      <c r="B11" s="201" t="s">
        <v>60</v>
      </c>
      <c r="C11" s="201" t="str">
        <f>_xlfn.IFNA(VLOOKUP(CONCATENATE(StudyName,B11),Data_Version!D:G,2,FALSE),"")</f>
        <v>Dropped</v>
      </c>
      <c r="D11" s="201" t="str">
        <f>_xlfn.IFNA(VLOOKUP(CONCATENATE(StudyName,B11),Data_Version!D:G,3,FALSE),"")</f>
        <v>N/A</v>
      </c>
      <c r="E11" s="201" t="str">
        <f>_xlfn.IFNA(VLOOKUP(CONCATENATE(StudyName,B11),Data_Version!D:G,4,FALSE),"")</f>
        <v>Dropped</v>
      </c>
      <c r="F11" s="184"/>
    </row>
    <row r="12" spans="1:6" x14ac:dyDescent="0.45">
      <c r="A12" s="184"/>
      <c r="B12" s="186" t="s">
        <v>61</v>
      </c>
      <c r="C12" s="186" t="str">
        <f>_xlfn.IFNA(VLOOKUP(CONCATENATE(StudyName,B12),Data_Version!D:G,2,FALSE),"")</f>
        <v>Encrypted</v>
      </c>
      <c r="D12" s="186" t="str">
        <f>_xlfn.IFNA(VLOOKUP(CONCATENATE(StudyName,B12),Data_Version!D:G,3,FALSE),"")</f>
        <v>N/A</v>
      </c>
      <c r="E12" s="186" t="str">
        <f>_xlfn.IFNA(VLOOKUP(CONCATENATE(StudyName,B12),Data_Version!D:G,4,FALSE),"")</f>
        <v>Encrypted</v>
      </c>
      <c r="F12" s="184"/>
    </row>
    <row r="13" spans="1:6" x14ac:dyDescent="0.45">
      <c r="A13" s="184"/>
      <c r="B13" s="201" t="s">
        <v>77</v>
      </c>
      <c r="C13" s="201" t="str">
        <f>_xlfn.IFNA(VLOOKUP(CONCATENATE(StudyName,B13),Data_Version!D:G,2,FALSE),"")</f>
        <v>Unencrypted</v>
      </c>
      <c r="D13" s="201" t="str">
        <f>_xlfn.IFNA(VLOOKUP(CONCATENATE(StudyName,B13),Data_Version!D:G,3,FALSE),"")</f>
        <v>N/A</v>
      </c>
      <c r="E13" s="201" t="str">
        <f>_xlfn.IFNA(VLOOKUP(CONCATENATE(StudyName,B13),Data_Version!D:G,4,FALSE),"")</f>
        <v>Unencrypted</v>
      </c>
      <c r="F13" s="184"/>
    </row>
    <row r="14" spans="1:6" x14ac:dyDescent="0.45">
      <c r="A14" s="184"/>
      <c r="B14" s="186" t="s">
        <v>78</v>
      </c>
      <c r="C14" s="186" t="str">
        <f>_xlfn.IFNA(VLOOKUP(CONCATENATE(StudyName,B14),Data_Version!D:G,2,FALSE),"")</f>
        <v>Unencrypted</v>
      </c>
      <c r="D14" s="186" t="str">
        <f>_xlfn.IFNA(VLOOKUP(CONCATENATE(StudyName,B14),Data_Version!D:G,3,FALSE),"")</f>
        <v>N/A</v>
      </c>
      <c r="E14" s="186" t="str">
        <f>_xlfn.IFNA(VLOOKUP(CONCATENATE(StudyName,B14),Data_Version!D:G,4,FALSE),"")</f>
        <v>Unencrypted</v>
      </c>
      <c r="F14" s="184"/>
    </row>
    <row r="15" spans="1:6" x14ac:dyDescent="0.45">
      <c r="A15" s="184"/>
      <c r="B15" s="201" t="s">
        <v>63</v>
      </c>
      <c r="C15" s="201" t="str">
        <f>_xlfn.IFNA(VLOOKUP(CONCATENATE(StudyName,B15),Data_Version!D:G,2,FALSE),"")</f>
        <v>Unencrypted</v>
      </c>
      <c r="D15" s="201" t="str">
        <f>_xlfn.IFNA(VLOOKUP(CONCATENATE(StudyName,B15),Data_Version!D:G,3,FALSE),"")</f>
        <v>N/A</v>
      </c>
      <c r="E15" s="201" t="str">
        <f>_xlfn.IFNA(VLOOKUP(CONCATENATE(StudyName,B15),Data_Version!D:G,4,FALSE),"")</f>
        <v>Unencrypted</v>
      </c>
      <c r="F15" s="184"/>
    </row>
    <row r="16" spans="1:6" x14ac:dyDescent="0.45">
      <c r="A16" s="184"/>
      <c r="B16" s="186" t="s">
        <v>64</v>
      </c>
      <c r="C16" s="186" t="str">
        <f>_xlfn.IFNA(VLOOKUP(CONCATENATE(StudyName,B16),Data_Version!D:G,2,FALSE),"")</f>
        <v>Dropped</v>
      </c>
      <c r="D16" s="186" t="str">
        <f>_xlfn.IFNA(VLOOKUP(CONCATENATE(StudyName,B16),Data_Version!D:G,3,FALSE),"")</f>
        <v>N/A</v>
      </c>
      <c r="E16" s="186" t="str">
        <f>_xlfn.IFNA(VLOOKUP(CONCATENATE(StudyName,B16),Data_Version!D:G,4,FALSE),"")</f>
        <v>Dropped</v>
      </c>
      <c r="F16" s="184"/>
    </row>
    <row r="17" spans="1:6" ht="35" x14ac:dyDescent="0.45">
      <c r="A17" s="184"/>
      <c r="B17" s="202" t="s">
        <v>65</v>
      </c>
      <c r="C17" s="201" t="str">
        <f>_xlfn.IFNA(VLOOKUP(CONCATENATE(StudyName,B17),Data_Version!D:G,2,FALSE),"")</f>
        <v>Dropped</v>
      </c>
      <c r="D17" s="201" t="str">
        <f>_xlfn.IFNA(VLOOKUP(CONCATENATE(StudyName,B17),Data_Version!D:G,3,FALSE),"")</f>
        <v>N/A</v>
      </c>
      <c r="E17" s="201" t="str">
        <f>_xlfn.IFNA(VLOOKUP(CONCATENATE(StudyName,B17),Data_Version!D:G,4,FALSE),"")</f>
        <v>Unencrypted</v>
      </c>
      <c r="F17" s="184"/>
    </row>
    <row r="18" spans="1:6" x14ac:dyDescent="0.45">
      <c r="A18" s="184"/>
      <c r="B18" s="186" t="s">
        <v>66</v>
      </c>
      <c r="C18" s="186" t="str">
        <f>_xlfn.IFNA(VLOOKUP(CONCATENATE(StudyName,B18),Data_Version!D:G,2,FALSE),"")</f>
        <v>Dropped</v>
      </c>
      <c r="D18" s="186" t="str">
        <f>_xlfn.IFNA(VLOOKUP(CONCATENATE(StudyName,B18),Data_Version!D:G,3,FALSE),"")</f>
        <v>N/A</v>
      </c>
      <c r="E18" s="186" t="str">
        <f>_xlfn.IFNA(VLOOKUP(CONCATENATE(StudyName,B18),Data_Version!D:G,4,FALSE),"")</f>
        <v>Unencrypted</v>
      </c>
      <c r="F18" s="184"/>
    </row>
    <row r="19" spans="1:6" x14ac:dyDescent="0.45">
      <c r="A19" s="184"/>
      <c r="B19" s="201" t="s">
        <v>67</v>
      </c>
      <c r="C19" s="201" t="str">
        <f>_xlfn.IFNA(VLOOKUP(CONCATENATE(StudyName,B19),Data_Version!D:G,2,FALSE),"")</f>
        <v>Dropped</v>
      </c>
      <c r="D19" s="201" t="str">
        <f>_xlfn.IFNA(VLOOKUP(CONCATENATE(StudyName,B19),Data_Version!D:G,3,FALSE),"")</f>
        <v>N/A</v>
      </c>
      <c r="E19" s="201" t="str">
        <f>_xlfn.IFNA(VLOOKUP(CONCATENATE(StudyName,B19),Data_Version!D:G,4,FALSE),"")</f>
        <v>Unencrypted</v>
      </c>
      <c r="F19" s="184"/>
    </row>
    <row r="20" spans="1:6" x14ac:dyDescent="0.45">
      <c r="A20" s="184"/>
      <c r="B20" s="186" t="s">
        <v>68</v>
      </c>
      <c r="C20" s="186" t="str">
        <f>_xlfn.IFNA(VLOOKUP(CONCATENATE(StudyName,B20),Data_Version!D:G,2,FALSE),"")</f>
        <v>Aggregated</v>
      </c>
      <c r="D20" s="186" t="str">
        <f>_xlfn.IFNA(VLOOKUP(CONCATENATE(StudyName,B20),Data_Version!D:G,3,FALSE),"")</f>
        <v>N/A</v>
      </c>
      <c r="E20" s="186" t="str">
        <f>_xlfn.IFNA(VLOOKUP(CONCATENATE(StudyName,B20),Data_Version!D:G,4,FALSE),"")</f>
        <v>Unencrypted</v>
      </c>
      <c r="F20" s="184"/>
    </row>
    <row r="21" spans="1:6" ht="54.65" customHeight="1" x14ac:dyDescent="0.45">
      <c r="A21" s="181"/>
      <c r="B21" s="282" t="s">
        <v>500</v>
      </c>
      <c r="C21" s="253"/>
      <c r="D21" s="253"/>
      <c r="E21" s="253"/>
      <c r="F21" s="187"/>
    </row>
  </sheetData>
  <sheetProtection algorithmName="SHA-512" hashValue="eZMTcSRRz6BXgW4/AzyaA9c9QWLkShDTo9IK5MF60ii7rEJXuN3uqEsmX12NLF6SNfPgnwy203mb1zCgfa2BnA==" saltValue="AB5ixgHYInBUP/twKdD15A==" spinCount="100000" sheet="1" objects="1" scenarios="1" formatCells="0" formatColumns="0" formatRows="0"/>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97</vt:i4>
      </vt:variant>
    </vt:vector>
  </HeadingPairs>
  <TitlesOfParts>
    <vt:vector size="111" baseType="lpstr">
      <vt:lpstr>Introduction</vt:lpstr>
      <vt:lpstr>Revision_Log</vt:lpstr>
      <vt:lpstr>About_Request_Form</vt:lpstr>
      <vt:lpstr>Form_Instructions</vt:lpstr>
      <vt:lpstr>Research_Project_Info</vt:lpstr>
      <vt:lpstr>File-Level_Request</vt:lpstr>
      <vt:lpstr>Summary</vt:lpstr>
      <vt:lpstr>App_A_File_Desc</vt:lpstr>
      <vt:lpstr>App_B_Masking_Levels</vt:lpstr>
      <vt:lpstr>App_C_Acronyms</vt:lpstr>
      <vt:lpstr>App_D_Glossary</vt:lpstr>
      <vt:lpstr>Study_Data_Year</vt:lpstr>
      <vt:lpstr>Formulas_Validations</vt:lpstr>
      <vt:lpstr>Data_Version</vt:lpstr>
      <vt:lpstr>AB_DM_Max_Year</vt:lpstr>
      <vt:lpstr>AB_DM_Min_Year</vt:lpstr>
      <vt:lpstr>AB_HH_Max_Year</vt:lpstr>
      <vt:lpstr>AB_HH_Min_Year</vt:lpstr>
      <vt:lpstr>AB_HS_Max_Year</vt:lpstr>
      <vt:lpstr>AB_HS_Min_Year</vt:lpstr>
      <vt:lpstr>AB_IP_Max_Year</vt:lpstr>
      <vt:lpstr>AB_IP_Min_Year</vt:lpstr>
      <vt:lpstr>AB_OP_Max_Year</vt:lpstr>
      <vt:lpstr>AB_OP_Min_Year</vt:lpstr>
      <vt:lpstr>AB_PB_Max_Year</vt:lpstr>
      <vt:lpstr>AB_PB_Min_Year</vt:lpstr>
      <vt:lpstr>AB_SN_Max_Year</vt:lpstr>
      <vt:lpstr>AB_SN_Min_Year</vt:lpstr>
      <vt:lpstr>About_the_App_A_File_Desc_Worksheet</vt:lpstr>
      <vt:lpstr>About_the_App_B_Encryotion_Levels_Worksheet</vt:lpstr>
      <vt:lpstr>About_the_App_D_Acronyms_Worksheet</vt:lpstr>
      <vt:lpstr>About_the_App_E_Glossary_Worksheet</vt:lpstr>
      <vt:lpstr>About_the_File_Level_Request_Worksheet</vt:lpstr>
      <vt:lpstr>About_the_Study_Info_Worksheet</vt:lpstr>
      <vt:lpstr>About_the_Summary_Worksheet</vt:lpstr>
      <vt:lpstr>Additional_Medicare_Summary_Files_Max_Year</vt:lpstr>
      <vt:lpstr>Additional_Medicare_Summary_Files_Min_Year</vt:lpstr>
      <vt:lpstr>C_Carrier_Max_Year</vt:lpstr>
      <vt:lpstr>C_Carrier_Min_Year</vt:lpstr>
      <vt:lpstr>C_DME_Max_Year</vt:lpstr>
      <vt:lpstr>C_DME_Min_Year</vt:lpstr>
      <vt:lpstr>C_HH_Max_Year</vt:lpstr>
      <vt:lpstr>C_HH_Min_Year</vt:lpstr>
      <vt:lpstr>C_IP_Max_Year</vt:lpstr>
      <vt:lpstr>C_IP_Min_Year</vt:lpstr>
      <vt:lpstr>C_OP_Max_Year</vt:lpstr>
      <vt:lpstr>C_OP_Min_Year</vt:lpstr>
      <vt:lpstr>C_SNF_Max_Year</vt:lpstr>
      <vt:lpstr>C_SNF_Min_Year</vt:lpstr>
      <vt:lpstr>DN_Max_Year</vt:lpstr>
      <vt:lpstr>DN_Min_Year</vt:lpstr>
      <vt:lpstr>Encryption_Lookup</vt:lpstr>
      <vt:lpstr>HEDIS_Max_Year</vt:lpstr>
      <vt:lpstr>HEDIS_Min_Year</vt:lpstr>
      <vt:lpstr>IRF_PAI_Max_Year</vt:lpstr>
      <vt:lpstr>IRF_PAI_Min_Year</vt:lpstr>
      <vt:lpstr>MAX_IP_Max_Year</vt:lpstr>
      <vt:lpstr>MAX_IP_Min_Year</vt:lpstr>
      <vt:lpstr>MAX_LT_Max_Year</vt:lpstr>
      <vt:lpstr>MAX_LT_Min_Year</vt:lpstr>
      <vt:lpstr>MAX_OT_Max_Year</vt:lpstr>
      <vt:lpstr>MAX_OT_Min_Year</vt:lpstr>
      <vt:lpstr>MAX_PS_Max_Year</vt:lpstr>
      <vt:lpstr>MAX_PS_Min_Year</vt:lpstr>
      <vt:lpstr>MAX_RX_Max_Year</vt:lpstr>
      <vt:lpstr>MAX_RX_Min_Year</vt:lpstr>
      <vt:lpstr>MBSF_Base_Max_Year</vt:lpstr>
      <vt:lpstr>MBSF_Base_Min_Year</vt:lpstr>
      <vt:lpstr>MBSF_CC_Max_Year</vt:lpstr>
      <vt:lpstr>MBSF_CC_Min_Year</vt:lpstr>
      <vt:lpstr>MBSF_CU_Max_Year</vt:lpstr>
      <vt:lpstr>MBSF_CU_Min_Year</vt:lpstr>
      <vt:lpstr>MBSF_Other_Max_Year</vt:lpstr>
      <vt:lpstr>MBSF_Other_Min_Year</vt:lpstr>
      <vt:lpstr>MDS_Max_Year</vt:lpstr>
      <vt:lpstr>MDS_Min_Year</vt:lpstr>
      <vt:lpstr>Medicaid_Claims_Data_Max_Year</vt:lpstr>
      <vt:lpstr>Medicaid_Claims_Data_Min_Year</vt:lpstr>
      <vt:lpstr>Medicaid_Enrollment_Data_Max_Year</vt:lpstr>
      <vt:lpstr>Medicaid_Enrollment_Data_Min_Year</vt:lpstr>
      <vt:lpstr>Medicare_Claims_Data_Max_Year</vt:lpstr>
      <vt:lpstr>Medicare_Claims_Data_Min_Year</vt:lpstr>
      <vt:lpstr>Medicare_Enrollment_Data_Max_Year</vt:lpstr>
      <vt:lpstr>Medicare_Enrollment_Data_Min_Year</vt:lpstr>
      <vt:lpstr>MedPAR_Max_Year</vt:lpstr>
      <vt:lpstr>MedPAR_Min_Year</vt:lpstr>
      <vt:lpstr>MTM_Max_Year</vt:lpstr>
      <vt:lpstr>MTM_Min_Year</vt:lpstr>
      <vt:lpstr>OASIS_Max_Year</vt:lpstr>
      <vt:lpstr>OASIS_Min_Year</vt:lpstr>
      <vt:lpstr>Part_C_Claims_Data_Max_Year</vt:lpstr>
      <vt:lpstr>Part_C_Claims_Data_Min_Year</vt:lpstr>
      <vt:lpstr>PDE_Max_Year</vt:lpstr>
      <vt:lpstr>PDE_Min_Year</vt:lpstr>
      <vt:lpstr>SelectSoftware</vt:lpstr>
      <vt:lpstr>SelectSurvey</vt:lpstr>
      <vt:lpstr>Study_Data_Year_Lookup</vt:lpstr>
      <vt:lpstr>StudyName</vt:lpstr>
      <vt:lpstr>SurveyNameLookUp</vt:lpstr>
      <vt:lpstr>Table_of_Contents</vt:lpstr>
      <vt:lpstr>TMSIS_DE_Max_Year</vt:lpstr>
      <vt:lpstr>TMSIS_DE_Min_Year</vt:lpstr>
      <vt:lpstr>TMSIS_IP_Max_Year</vt:lpstr>
      <vt:lpstr>TMSIS_IP_Min_Year</vt:lpstr>
      <vt:lpstr>TMSIS_LT_Max_Year</vt:lpstr>
      <vt:lpstr>TMSIS_LT_Min_Year</vt:lpstr>
      <vt:lpstr>TMSIS_OT_Max_Year</vt:lpstr>
      <vt:lpstr>TMSIS_OT_Min_Year</vt:lpstr>
      <vt:lpstr>TMSIS_RX_Max_Year</vt:lpstr>
      <vt:lpstr>TMSIS_RX_Min_Year</vt:lpstr>
      <vt:lpstr>Update_Request_Form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 Dee Aubourg</dc:creator>
  <cp:lastModifiedBy>Grant Guan</cp:lastModifiedBy>
  <dcterms:created xsi:type="dcterms:W3CDTF">2014-05-07T03:08:19Z</dcterms:created>
  <dcterms:modified xsi:type="dcterms:W3CDTF">2023-11-14T20:33:53Z</dcterms:modified>
</cp:coreProperties>
</file>