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showInkAnnotation="0" codeName="ThisWorkbook"/>
  <mc:AlternateContent xmlns:mc="http://schemas.openxmlformats.org/markup-compatibility/2006">
    <mc:Choice Requires="x15">
      <x15ac:absPath xmlns:x15ac="http://schemas.microsoft.com/office/spreadsheetml/2010/11/ac" url="\\sun\Active\Projects\LINKAGE\01_Data\Documentation\Data_Request_Form\2023\To_Linkage\Pending_Approval\"/>
    </mc:Choice>
  </mc:AlternateContent>
  <xr:revisionPtr revIDLastSave="0" documentId="8_{7762EACE-6BE3-4A77-A3AE-8489C39F3295}" xr6:coauthVersionLast="47" xr6:coauthVersionMax="47" xr10:uidLastSave="{00000000-0000-0000-0000-000000000000}"/>
  <workbookProtection workbookAlgorithmName="SHA-512" workbookHashValue="BrgcA2mtpnoGtBWBAlRBv0fvvDNAhUBDWwduUNUvfEympmWiF6oBnkFNHwNq2qCRmMEL1LRq4dN+M7N0q7KCvA==" workbookSaltValue="eariEM81vepJcEfKUF5nmA==" workbookSpinCount="100000" lockStructure="1"/>
  <bookViews>
    <workbookView xWindow="28680" yWindow="-120" windowWidth="29040" windowHeight="15840" tabRatio="906" xr2:uid="{00000000-000D-0000-FFFF-FFFF00000000}"/>
  </bookViews>
  <sheets>
    <sheet name="Introduction" sheetId="1" r:id="rId1"/>
    <sheet name="Revision_Log" sheetId="35" r:id="rId2"/>
    <sheet name="About_Request_Form" sheetId="26" r:id="rId3"/>
    <sheet name="Form_Instructions" sheetId="34" r:id="rId4"/>
    <sheet name="Research_Project_Info" sheetId="2" r:id="rId5"/>
    <sheet name="File-Level_Request" sheetId="18" r:id="rId6"/>
    <sheet name="PDE_Request" sheetId="23" r:id="rId7"/>
    <sheet name="Summary" sheetId="22" r:id="rId8"/>
    <sheet name="App_A_File_Desc" sheetId="17" r:id="rId9"/>
    <sheet name="App_B_Encryption_Levels" sheetId="14" r:id="rId10"/>
    <sheet name="App_C_Acronyms" sheetId="28" r:id="rId11"/>
    <sheet name="App_D_Glossary" sheetId="29" r:id="rId12"/>
    <sheet name="Study_Data_Year" sheetId="30" state="hidden" r:id="rId13"/>
    <sheet name="Formulas_Validations" sheetId="11" state="hidden" r:id="rId14"/>
    <sheet name="PDE_Source" sheetId="37" state="hidden" r:id="rId15"/>
    <sheet name="Data_Version" sheetId="15" state="hidden" r:id="rId16"/>
  </sheets>
  <definedNames>
    <definedName name="_xlnm._FilterDatabase" localSheetId="10" hidden="1">App_C_Acronyms!$B$6:$C$6</definedName>
    <definedName name="_xlnm._FilterDatabase" localSheetId="15" hidden="1">Data_Version!$A$3:$G$231</definedName>
    <definedName name="_xlnm._FilterDatabase" localSheetId="13" hidden="1">Formulas_Validations!#REF!</definedName>
    <definedName name="_xlnm._FilterDatabase" localSheetId="14" hidden="1">PDE_Source!$A$3:$D$8481</definedName>
    <definedName name="_xlnm._FilterDatabase" localSheetId="12" hidden="1">Study_Data_Year!$A$7:$F$392</definedName>
    <definedName name="AB_DM_Max_Year">Study_Data_Year!$F$404</definedName>
    <definedName name="AB_DM_Min_Year">Study_Data_Year!$E$404</definedName>
    <definedName name="AB_HH_Max_Year">Study_Data_Year!$F$405</definedName>
    <definedName name="AB_HH_Min_Year">Study_Data_Year!$E$405</definedName>
    <definedName name="AB_HS_Max_Year">Study_Data_Year!$F$406</definedName>
    <definedName name="AB_HS_Min_Year">Study_Data_Year!$E$406</definedName>
    <definedName name="AB_IP_Max_Year">Study_Data_Year!$F$407</definedName>
    <definedName name="AB_IP_Min_Year">Study_Data_Year!$E$407</definedName>
    <definedName name="AB_OP_Max_Year">Study_Data_Year!$F$408</definedName>
    <definedName name="AB_OP_Min_Year">Study_Data_Year!$E$408</definedName>
    <definedName name="AB_PB_Max_Year">Study_Data_Year!$F$403</definedName>
    <definedName name="AB_PB_Min_Year">Study_Data_Year!$E$403</definedName>
    <definedName name="AB_SN_Max_Year">Study_Data_Year!$F$409</definedName>
    <definedName name="AB_SN_Min_Year">Study_Data_Year!$E$409</definedName>
    <definedName name="About_the_App_A_File_Desc_Worksheet">About_Request_Form!$A$55</definedName>
    <definedName name="About_the_App_B_Encryotion_Levels_Worksheet">About_Request_Form!$A$59</definedName>
    <definedName name="About_the_App_D_Acronyms_Worksheet">About_Request_Form!$A$63</definedName>
    <definedName name="About_the_App_E_Glossary_Worksheet">About_Request_Form!$A$66</definedName>
    <definedName name="About_the_File_Level_Request_Worksheet">About_Request_Form!$A$18</definedName>
    <definedName name="About_the_PDE_Request_Worksheet">About_Request_Form!$A$38</definedName>
    <definedName name="About_the_Study_Info_Worksheet">About_Request_Form!$A$14</definedName>
    <definedName name="About_the_Summary_Worksheet">About_Request_Form!$A$51</definedName>
    <definedName name="Additional_Medicare_Summary_Files_Max_Year">Study_Data_Year!$F$431</definedName>
    <definedName name="Additional_Medicare_Summary_Files_Min_Year">Study_Data_Year!$E$431</definedName>
    <definedName name="C_Carrier_Max_Year">Study_Data_Year!$F$411</definedName>
    <definedName name="C_Carrier_Min_Year">Study_Data_Year!$E$411</definedName>
    <definedName name="C_DME_Max_Year">Study_Data_Year!$F$412</definedName>
    <definedName name="C_DME_Min_Year">Study_Data_Year!$E$412</definedName>
    <definedName name="C_HH_Max_Year">Study_Data_Year!$F$413</definedName>
    <definedName name="C_HH_Min_Year">Study_Data_Year!$E$413</definedName>
    <definedName name="C_IP_Max_Year">Study_Data_Year!$F$414</definedName>
    <definedName name="C_IP_Min_Year">Study_Data_Year!$E$414</definedName>
    <definedName name="C_OP_Max_Year">Study_Data_Year!$F$415</definedName>
    <definedName name="C_OP_Min_Year">Study_Data_Year!$E$415</definedName>
    <definedName name="C_SNF_Max_Year">Study_Data_Year!$F$416</definedName>
    <definedName name="C_SNF_Min_Year">Study_Data_Year!$E$416</definedName>
    <definedName name="DisplaySurveyName">Formulas_Validations!$B$7:$C$18</definedName>
    <definedName name="DN_Max_Year">Study_Data_Year!$F$396</definedName>
    <definedName name="DN_Min_Year">Study_Data_Year!$E$396</definedName>
    <definedName name="Encryption_Lookup">Formulas_Validations!$B$31:$C$38</definedName>
    <definedName name="HEDIS_Max_Year">Study_Data_Year!$F$436</definedName>
    <definedName name="HEDIS_Min_Year">Study_Data_Year!$E$436</definedName>
    <definedName name="IRF_PAI_Max_Year">Study_Data_Year!$F$427</definedName>
    <definedName name="IRF_PAI_Min_Year">Study_Data_Year!$E$427</definedName>
    <definedName name="IRFPAI_Encryption_Level">#REF!</definedName>
    <definedName name="IRFPAI_Encryption_Lookup_Table">#REF!</definedName>
    <definedName name="MAX_IP_Max_Year">Study_Data_Year!$F$418</definedName>
    <definedName name="MAX_IP_Min_Year">Study_Data_Year!$E$418</definedName>
    <definedName name="MAX_LT_Max_Year">Study_Data_Year!$F$419</definedName>
    <definedName name="MAX_LT_Min_Year">Study_Data_Year!$E$419</definedName>
    <definedName name="MAX_OT_Max_Year">Study_Data_Year!$F$420</definedName>
    <definedName name="MAX_OT_Min_Year">Study_Data_Year!$E$420</definedName>
    <definedName name="MAX_PS_Max_Year">Study_Data_Year!$F$401</definedName>
    <definedName name="MAX_PS_Min_Year">Study_Data_Year!$E$401</definedName>
    <definedName name="MAX_RX_Max_Year">Study_Data_Year!$F$421</definedName>
    <definedName name="MAX_RX_Min_Year">Study_Data_Year!$E$421</definedName>
    <definedName name="MBSF_Base_Max_Year">Study_Data_Year!$F$397</definedName>
    <definedName name="MBSF_Base_Min_Year">Study_Data_Year!$E$397</definedName>
    <definedName name="MBSF_CC_Max_Year">Study_Data_Year!$F$398</definedName>
    <definedName name="MBSF_CC_Min_Year">Study_Data_Year!$E$398</definedName>
    <definedName name="MBSF_CU_Max_Year">Study_Data_Year!$F$399</definedName>
    <definedName name="MBSF_CU_Min_Year">Study_Data_Year!$E$399</definedName>
    <definedName name="MBSF_Other_Max_Year">Study_Data_Year!$F$400</definedName>
    <definedName name="MBSF_Other_Min_Year">Study_Data_Year!$E$400</definedName>
    <definedName name="MDS_Encryption_Level">#REF!</definedName>
    <definedName name="MDS_Encryption_Lookup_Table" localSheetId="14">PDE_Source!$B$3:$D$8481</definedName>
    <definedName name="MDS_Encryption_Lookup_Table">#REF!</definedName>
    <definedName name="MDS_Max_Year">Study_Data_Year!$F$428</definedName>
    <definedName name="MDS_Min_Year">Study_Data_Year!$E$428</definedName>
    <definedName name="Medicaid_Claims_Data_Max_Year">Study_Data_Year!$F$435</definedName>
    <definedName name="Medicaid_Claims_Data_Min_Year">Study_Data_Year!$E$435</definedName>
    <definedName name="Medicaid_Enrollment_Data_Max_Year">Study_Data_Year!$F$432</definedName>
    <definedName name="Medicaid_Enrollment_Data_Min_Year">Study_Data_Year!$E$432</definedName>
    <definedName name="Medicare_Claims_Data_Max_Year">Study_Data_Year!$F$433</definedName>
    <definedName name="Medicare_Claims_Data_Min_Year">Study_Data_Year!$E$433</definedName>
    <definedName name="Medicare_Enrollment_Data_Max_Year">Study_Data_Year!$F$430</definedName>
    <definedName name="Medicare_Enrollment_Data_Min_Year">Study_Data_Year!$E$430</definedName>
    <definedName name="MedPAR_Max_Year">Study_Data_Year!$F$410</definedName>
    <definedName name="MedPAR_Min_Year">Study_Data_Year!$E$410</definedName>
    <definedName name="MTM_Max_Year">Study_Data_Year!$F$417</definedName>
    <definedName name="MTM_Min_Year">Study_Data_Year!$E$417</definedName>
    <definedName name="OASIS_Encryption_Level">#REF!</definedName>
    <definedName name="OASIS_Encryption_Lookup_Table">#REF!</definedName>
    <definedName name="OASIS_Max_Year">Study_Data_Year!$F$429</definedName>
    <definedName name="OASIS_Min_Year">Study_Data_Year!$E$429</definedName>
    <definedName name="Part_C_Claims_Data_Max_Year">Study_Data_Year!$F$434</definedName>
    <definedName name="Part_C_Claims_Data_Min_Year">Study_Data_Year!$E$434</definedName>
    <definedName name="PDE_Encryption_Lookup_Table">PDE_Source!$B$4:$D$291</definedName>
    <definedName name="PDE_Max_Year">Study_Data_Year!$F$426</definedName>
    <definedName name="PDE_Min_Year">Study_Data_Year!$E$426</definedName>
    <definedName name="SelectSoftware">Research_Project_Info!$C$36</definedName>
    <definedName name="SelectSurvey">Research_Project_Info!$C$23</definedName>
    <definedName name="Study_Data_Year_Lookup">Study_Data_Year!$D$7:$F$392</definedName>
    <definedName name="StudyName">Study_Data_Year!$E$3</definedName>
    <definedName name="SurveyNameLookUp">Formulas_Validations!$B$5:$D$18</definedName>
    <definedName name="Table_of_Contents">About_Request_Form!$A$5</definedName>
    <definedName name="TMSIS_DE_Max_Year">Study_Data_Year!$F$402</definedName>
    <definedName name="TMSIS_DE_Min_Year">Study_Data_Year!$E$402</definedName>
    <definedName name="TMSIS_IP_Max_Year">Study_Data_Year!$F$422</definedName>
    <definedName name="TMSIS_IP_Min_Year">Study_Data_Year!$E$422</definedName>
    <definedName name="TMSIS_LT_Max_Year">Study_Data_Year!$F$423</definedName>
    <definedName name="TMSIS_LT_Min_Year">Study_Data_Year!$E$423</definedName>
    <definedName name="TMSIS_OT_Max_Year">Study_Data_Year!$F$424</definedName>
    <definedName name="TMSIS_OT_Min_Year">Study_Data_Year!$E$424</definedName>
    <definedName name="TMSIS_RX_Max_Year">Study_Data_Year!$F$425</definedName>
    <definedName name="TMSIS_RX_Min_Year">Study_Data_Year!$E$425</definedName>
    <definedName name="Update_Request_Form">Research_Project_Info!$C$40</definedName>
    <definedName name="Z_9DB63C14_8C2E_43D7_ACAD_1DD967C25093_.wvu.FilterData" localSheetId="5" hidden="1">'File-Level_Request'!#REF!</definedName>
  </definedNames>
  <calcPr calcId="191029"/>
  <customWorkbookViews>
    <customWorkbookView name="Grant Guan - Personal View" guid="{9DB63C14-8C2E-43D7-ACAD-1DD967C25093}" mergeInterval="0" personalView="1" xWindow="2050" yWindow="86" windowWidth="2303" windowHeight="1826" tabRatio="952" activeSheetId="3" showComments="commIndAndComment"/>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73" i="18" l="1"/>
  <c r="B34" i="18"/>
  <c r="D322" i="30" l="1"/>
  <c r="D287" i="30"/>
  <c r="D252" i="30"/>
  <c r="D217" i="30"/>
  <c r="D182" i="30"/>
  <c r="D147" i="30"/>
  <c r="D112" i="30"/>
  <c r="D77" i="30"/>
  <c r="D42" i="30"/>
  <c r="D357" i="30"/>
  <c r="B257" i="37" l="1"/>
  <c r="B258" i="37"/>
  <c r="B259" i="37"/>
  <c r="B260" i="37"/>
  <c r="B261" i="37"/>
  <c r="B262" i="37"/>
  <c r="B263" i="37"/>
  <c r="B264" i="37"/>
  <c r="B265" i="37"/>
  <c r="B266" i="37"/>
  <c r="B267" i="37"/>
  <c r="B268" i="37"/>
  <c r="B269" i="37"/>
  <c r="B270" i="37"/>
  <c r="B271" i="37"/>
  <c r="B272" i="37"/>
  <c r="B273" i="37"/>
  <c r="B274" i="37"/>
  <c r="B275" i="37"/>
  <c r="B276" i="37"/>
  <c r="B277" i="37"/>
  <c r="B278" i="37"/>
  <c r="B279" i="37"/>
  <c r="B280" i="37"/>
  <c r="B281" i="37"/>
  <c r="B282" i="37"/>
  <c r="B283" i="37"/>
  <c r="B284" i="37"/>
  <c r="B285" i="37"/>
  <c r="B286" i="37"/>
  <c r="B287" i="37"/>
  <c r="B288" i="37"/>
  <c r="B289" i="37"/>
  <c r="B290" i="37"/>
  <c r="B291" i="37"/>
  <c r="B256" i="37"/>
  <c r="D243" i="15"/>
  <c r="D242" i="15"/>
  <c r="D241" i="15"/>
  <c r="D240" i="15"/>
  <c r="D239" i="15"/>
  <c r="D238" i="15"/>
  <c r="D237" i="15"/>
  <c r="D236" i="15"/>
  <c r="D235" i="15"/>
  <c r="D234" i="15"/>
  <c r="D233" i="15"/>
  <c r="D232" i="15"/>
  <c r="D392" i="30" l="1"/>
  <c r="D391" i="30" l="1"/>
  <c r="D390" i="30"/>
  <c r="D389" i="30"/>
  <c r="D388" i="30"/>
  <c r="D387" i="30"/>
  <c r="D386" i="30"/>
  <c r="D385" i="30"/>
  <c r="D384" i="30"/>
  <c r="D383" i="30"/>
  <c r="D382" i="30"/>
  <c r="D381" i="30"/>
  <c r="D380" i="30"/>
  <c r="D379" i="30"/>
  <c r="D378" i="30"/>
  <c r="D377" i="30"/>
  <c r="D376" i="30"/>
  <c r="D375" i="30"/>
  <c r="D374" i="30"/>
  <c r="D373" i="30"/>
  <c r="D372" i="30"/>
  <c r="D371" i="30"/>
  <c r="D370" i="30"/>
  <c r="D369" i="30"/>
  <c r="D368" i="30"/>
  <c r="D367" i="30"/>
  <c r="D366" i="30"/>
  <c r="D365" i="30"/>
  <c r="D364" i="30"/>
  <c r="D363" i="30"/>
  <c r="D362" i="30"/>
  <c r="D361" i="30"/>
  <c r="D360" i="30"/>
  <c r="D359" i="30"/>
  <c r="D358" i="30"/>
  <c r="A5" i="23" l="1"/>
  <c r="B220" i="37" l="1"/>
  <c r="B221" i="37"/>
  <c r="B222" i="37"/>
  <c r="B223" i="37"/>
  <c r="B224" i="37"/>
  <c r="B225" i="37"/>
  <c r="B226" i="37"/>
  <c r="B227" i="37"/>
  <c r="B228" i="37"/>
  <c r="B229" i="37"/>
  <c r="B230" i="37"/>
  <c r="B231" i="37"/>
  <c r="B232" i="37"/>
  <c r="B233" i="37"/>
  <c r="B234" i="37"/>
  <c r="B235" i="37"/>
  <c r="B236" i="37"/>
  <c r="B237" i="37"/>
  <c r="B238" i="37"/>
  <c r="B239" i="37"/>
  <c r="B240" i="37"/>
  <c r="B241" i="37"/>
  <c r="B242" i="37"/>
  <c r="B243" i="37"/>
  <c r="B244" i="37"/>
  <c r="B245" i="37"/>
  <c r="B246" i="37"/>
  <c r="B247" i="37"/>
  <c r="B248" i="37"/>
  <c r="B249" i="37"/>
  <c r="B250" i="37"/>
  <c r="B251" i="37"/>
  <c r="B252" i="37"/>
  <c r="B253" i="37"/>
  <c r="B254" i="37"/>
  <c r="B255" i="37"/>
  <c r="B219" i="37" l="1"/>
  <c r="B218" i="37"/>
  <c r="B217" i="37"/>
  <c r="B216" i="37"/>
  <c r="B215" i="37"/>
  <c r="B214" i="37"/>
  <c r="B213" i="37"/>
  <c r="B212" i="37"/>
  <c r="B211" i="37"/>
  <c r="B210" i="37"/>
  <c r="B209" i="37"/>
  <c r="B208" i="37"/>
  <c r="B207" i="37"/>
  <c r="B206" i="37"/>
  <c r="B205" i="37"/>
  <c r="B204" i="37"/>
  <c r="B203" i="37"/>
  <c r="B202" i="37"/>
  <c r="B201" i="37"/>
  <c r="B200" i="37"/>
  <c r="B199" i="37"/>
  <c r="B198" i="37"/>
  <c r="B197" i="37"/>
  <c r="B196" i="37"/>
  <c r="B195" i="37"/>
  <c r="B194" i="37"/>
  <c r="B193" i="37"/>
  <c r="B192" i="37"/>
  <c r="B191" i="37"/>
  <c r="B190" i="37"/>
  <c r="B189" i="37"/>
  <c r="B188" i="37"/>
  <c r="B187" i="37"/>
  <c r="B186" i="37"/>
  <c r="B185" i="37"/>
  <c r="B184" i="37"/>
  <c r="B183" i="37"/>
  <c r="B182" i="37"/>
  <c r="B181" i="37"/>
  <c r="B180" i="37"/>
  <c r="B179" i="37"/>
  <c r="B178" i="37"/>
  <c r="B177" i="37"/>
  <c r="B176" i="37"/>
  <c r="B175" i="37"/>
  <c r="B174" i="37"/>
  <c r="B173" i="37"/>
  <c r="B172" i="37"/>
  <c r="B171" i="37"/>
  <c r="B170" i="37"/>
  <c r="B169" i="37"/>
  <c r="B168" i="37"/>
  <c r="B167" i="37"/>
  <c r="B166" i="37"/>
  <c r="B165" i="37"/>
  <c r="B164" i="37"/>
  <c r="B163" i="37"/>
  <c r="B162" i="37"/>
  <c r="B161" i="37"/>
  <c r="B160" i="37"/>
  <c r="B159" i="37"/>
  <c r="B158" i="37"/>
  <c r="B157" i="37"/>
  <c r="B156" i="37"/>
  <c r="B155" i="37"/>
  <c r="B154" i="37"/>
  <c r="B153" i="37"/>
  <c r="B152" i="37"/>
  <c r="B151" i="37"/>
  <c r="B150" i="37"/>
  <c r="B149" i="37"/>
  <c r="B148" i="37"/>
  <c r="B147" i="37"/>
  <c r="B146" i="37"/>
  <c r="B145" i="37"/>
  <c r="B144" i="37"/>
  <c r="B143" i="37"/>
  <c r="B142" i="37"/>
  <c r="B141" i="37"/>
  <c r="B140" i="37"/>
  <c r="B139" i="37"/>
  <c r="B138" i="37"/>
  <c r="B137" i="37"/>
  <c r="B136" i="37"/>
  <c r="B135" i="37"/>
  <c r="B134" i="37"/>
  <c r="B133" i="37"/>
  <c r="B132" i="37"/>
  <c r="B131" i="37"/>
  <c r="B130" i="37"/>
  <c r="B129" i="37"/>
  <c r="B128" i="37"/>
  <c r="B127" i="37"/>
  <c r="B126" i="37"/>
  <c r="B125" i="37"/>
  <c r="B124" i="37"/>
  <c r="B123" i="37"/>
  <c r="B122" i="37"/>
  <c r="B121" i="37"/>
  <c r="B120" i="37"/>
  <c r="B119" i="37"/>
  <c r="B118" i="37"/>
  <c r="B117" i="37"/>
  <c r="B116" i="37"/>
  <c r="B115" i="37"/>
  <c r="B114" i="37"/>
  <c r="B113" i="37"/>
  <c r="B112" i="37"/>
  <c r="B111" i="37"/>
  <c r="B110" i="37"/>
  <c r="B109" i="37"/>
  <c r="B108" i="37"/>
  <c r="B107" i="37"/>
  <c r="B106" i="37"/>
  <c r="B105" i="37"/>
  <c r="B104" i="37"/>
  <c r="B103" i="37"/>
  <c r="B102" i="37"/>
  <c r="B101" i="37"/>
  <c r="B100" i="37"/>
  <c r="B99" i="37"/>
  <c r="B98" i="37"/>
  <c r="B97" i="37"/>
  <c r="B96" i="37"/>
  <c r="B95" i="37"/>
  <c r="B94" i="37"/>
  <c r="B93" i="37"/>
  <c r="B92" i="37"/>
  <c r="B91" i="37"/>
  <c r="B90" i="37"/>
  <c r="B89" i="37"/>
  <c r="B88" i="37"/>
  <c r="B87" i="37"/>
  <c r="B86" i="37"/>
  <c r="B85" i="37"/>
  <c r="B84" i="37"/>
  <c r="B83" i="37"/>
  <c r="B82" i="37"/>
  <c r="B81" i="37"/>
  <c r="B80" i="37"/>
  <c r="B79" i="37"/>
  <c r="B78" i="37"/>
  <c r="B77" i="37"/>
  <c r="B76" i="37"/>
  <c r="B75" i="37"/>
  <c r="B74" i="37"/>
  <c r="B73" i="37"/>
  <c r="B72" i="37"/>
  <c r="B71" i="37"/>
  <c r="B70" i="37"/>
  <c r="B69" i="37"/>
  <c r="B68" i="37"/>
  <c r="B67" i="37"/>
  <c r="B66" i="37"/>
  <c r="B65" i="37"/>
  <c r="B64" i="37"/>
  <c r="B63" i="37"/>
  <c r="B62" i="37"/>
  <c r="B61" i="37"/>
  <c r="B60" i="37"/>
  <c r="B59" i="37"/>
  <c r="B58" i="37"/>
  <c r="B57" i="37"/>
  <c r="B56" i="37"/>
  <c r="B55" i="37"/>
  <c r="B54" i="37"/>
  <c r="B53" i="37"/>
  <c r="B52" i="37"/>
  <c r="B51" i="37"/>
  <c r="B50" i="37"/>
  <c r="B49" i="37"/>
  <c r="B48" i="37"/>
  <c r="B47" i="37"/>
  <c r="B46" i="37"/>
  <c r="B45" i="37"/>
  <c r="B44" i="37"/>
  <c r="B43" i="37"/>
  <c r="B42" i="37"/>
  <c r="B41" i="37"/>
  <c r="B40" i="37"/>
  <c r="B39" i="37"/>
  <c r="B38" i="37"/>
  <c r="B37" i="37"/>
  <c r="B36" i="37"/>
  <c r="B35" i="37"/>
  <c r="B34" i="37"/>
  <c r="B33" i="37"/>
  <c r="B32" i="37"/>
  <c r="B31" i="37"/>
  <c r="B30" i="37"/>
  <c r="B29" i="37"/>
  <c r="B28" i="37"/>
  <c r="B27" i="37"/>
  <c r="B26" i="37"/>
  <c r="B25" i="37"/>
  <c r="B24" i="37"/>
  <c r="B23" i="37"/>
  <c r="B22" i="37"/>
  <c r="B21" i="37"/>
  <c r="B20" i="37"/>
  <c r="B19" i="37"/>
  <c r="B18" i="37"/>
  <c r="B17" i="37"/>
  <c r="B16" i="37"/>
  <c r="B15" i="37"/>
  <c r="B14" i="37"/>
  <c r="B13" i="37"/>
  <c r="B12" i="37"/>
  <c r="B11" i="37"/>
  <c r="B10" i="37"/>
  <c r="B9" i="37"/>
  <c r="B8" i="37"/>
  <c r="B7" i="37"/>
  <c r="B6" i="37"/>
  <c r="B5" i="37"/>
  <c r="B4" i="37"/>
  <c r="D321" i="30" l="1"/>
  <c r="D320" i="30"/>
  <c r="D319" i="30"/>
  <c r="D318" i="30"/>
  <c r="D317" i="30"/>
  <c r="D316" i="30"/>
  <c r="D315" i="30"/>
  <c r="D314" i="30"/>
  <c r="D313" i="30"/>
  <c r="D312" i="30"/>
  <c r="D311" i="30"/>
  <c r="D310" i="30"/>
  <c r="D309" i="30"/>
  <c r="D308" i="30"/>
  <c r="D307" i="30"/>
  <c r="D306" i="30"/>
  <c r="D305" i="30"/>
  <c r="D304" i="30"/>
  <c r="D303" i="30"/>
  <c r="D302" i="30"/>
  <c r="D301" i="30"/>
  <c r="D300" i="30"/>
  <c r="D299" i="30"/>
  <c r="D298" i="30"/>
  <c r="D297" i="30"/>
  <c r="D296" i="30"/>
  <c r="D295" i="30"/>
  <c r="D294" i="30"/>
  <c r="D293" i="30"/>
  <c r="D292" i="30"/>
  <c r="D291" i="30"/>
  <c r="D290" i="30"/>
  <c r="D289" i="30"/>
  <c r="D288" i="30"/>
  <c r="D286" i="30"/>
  <c r="D285" i="30"/>
  <c r="D284" i="30"/>
  <c r="D283" i="30"/>
  <c r="D282" i="30"/>
  <c r="D281" i="30"/>
  <c r="D280" i="30"/>
  <c r="D279" i="30"/>
  <c r="D278" i="30"/>
  <c r="D277" i="30"/>
  <c r="D276" i="30"/>
  <c r="D275" i="30"/>
  <c r="D274" i="30"/>
  <c r="D273" i="30"/>
  <c r="D272" i="30"/>
  <c r="D271" i="30"/>
  <c r="D270" i="30"/>
  <c r="D269" i="30"/>
  <c r="D268" i="30"/>
  <c r="D267" i="30"/>
  <c r="D266" i="30"/>
  <c r="D265" i="30"/>
  <c r="D264" i="30"/>
  <c r="D263" i="30"/>
  <c r="D262" i="30"/>
  <c r="D261" i="30"/>
  <c r="D260" i="30"/>
  <c r="D259" i="30"/>
  <c r="D258" i="30"/>
  <c r="D257" i="30"/>
  <c r="D256" i="30"/>
  <c r="D255" i="30"/>
  <c r="D254" i="30"/>
  <c r="D253" i="30"/>
  <c r="C55" i="22" l="1"/>
  <c r="A5" i="18" l="1"/>
  <c r="D18" i="23" l="1"/>
  <c r="D5" i="15" l="1"/>
  <c r="D6" i="15"/>
  <c r="D7" i="15"/>
  <c r="D8" i="15"/>
  <c r="D9" i="15"/>
  <c r="D10" i="15"/>
  <c r="D11" i="15"/>
  <c r="D12" i="15"/>
  <c r="D13" i="15"/>
  <c r="D14" i="15"/>
  <c r="D15" i="15"/>
  <c r="D16" i="15"/>
  <c r="D17" i="15"/>
  <c r="D18" i="15"/>
  <c r="D19" i="15"/>
  <c r="D20" i="15"/>
  <c r="D21" i="15"/>
  <c r="D22" i="15"/>
  <c r="D23" i="15"/>
  <c r="D24" i="15"/>
  <c r="D25" i="15"/>
  <c r="D26" i="15"/>
  <c r="D27" i="15"/>
  <c r="D28" i="15"/>
  <c r="D29" i="15"/>
  <c r="D30" i="15"/>
  <c r="D31" i="15"/>
  <c r="D32" i="15"/>
  <c r="D33" i="15"/>
  <c r="D34" i="15"/>
  <c r="D35" i="15"/>
  <c r="D36" i="15"/>
  <c r="D37" i="15"/>
  <c r="D38" i="15"/>
  <c r="D39" i="15"/>
  <c r="D40" i="15"/>
  <c r="D41" i="15"/>
  <c r="D42" i="15"/>
  <c r="D43" i="15"/>
  <c r="D44" i="15"/>
  <c r="D45" i="15"/>
  <c r="D46" i="15"/>
  <c r="D47" i="15"/>
  <c r="D48" i="15"/>
  <c r="D49" i="15"/>
  <c r="D50" i="15"/>
  <c r="D51" i="15"/>
  <c r="D52" i="15"/>
  <c r="D53" i="15"/>
  <c r="D54" i="15"/>
  <c r="D55" i="15"/>
  <c r="D56" i="15"/>
  <c r="D57" i="15"/>
  <c r="D58" i="15"/>
  <c r="D59" i="15"/>
  <c r="D60" i="15"/>
  <c r="D61" i="15"/>
  <c r="D62" i="15"/>
  <c r="D63" i="15"/>
  <c r="D64" i="15"/>
  <c r="D65" i="15"/>
  <c r="D66" i="15"/>
  <c r="D67" i="15"/>
  <c r="D68" i="15"/>
  <c r="D69" i="15"/>
  <c r="D70" i="15"/>
  <c r="D71" i="15"/>
  <c r="D72" i="15"/>
  <c r="D73" i="15"/>
  <c r="D74" i="15"/>
  <c r="D75" i="15"/>
  <c r="D76" i="15"/>
  <c r="D77" i="15"/>
  <c r="D78" i="15"/>
  <c r="D79" i="15"/>
  <c r="D80" i="15"/>
  <c r="D81" i="15"/>
  <c r="D82" i="15"/>
  <c r="D83" i="15"/>
  <c r="D84" i="15"/>
  <c r="D85" i="15"/>
  <c r="D86" i="15"/>
  <c r="D87" i="15"/>
  <c r="D88" i="15"/>
  <c r="D89" i="15"/>
  <c r="D90" i="15"/>
  <c r="D91" i="15"/>
  <c r="D92" i="15"/>
  <c r="D93" i="15"/>
  <c r="D94" i="15"/>
  <c r="D95" i="15"/>
  <c r="D96" i="15"/>
  <c r="D97" i="15"/>
  <c r="D98" i="15"/>
  <c r="D99" i="15"/>
  <c r="D100" i="15"/>
  <c r="D101" i="15"/>
  <c r="D102" i="15"/>
  <c r="D103" i="15"/>
  <c r="D104" i="15"/>
  <c r="D105" i="15"/>
  <c r="D106" i="15"/>
  <c r="D107" i="15"/>
  <c r="D108" i="15"/>
  <c r="D109" i="15"/>
  <c r="D110" i="15"/>
  <c r="D111" i="15"/>
  <c r="D112" i="15"/>
  <c r="D113" i="15"/>
  <c r="D114" i="15"/>
  <c r="D115" i="15"/>
  <c r="D116" i="15"/>
  <c r="D117" i="15"/>
  <c r="D118" i="15"/>
  <c r="D119" i="15"/>
  <c r="D120" i="15"/>
  <c r="D121" i="15"/>
  <c r="D122" i="15"/>
  <c r="D123" i="15"/>
  <c r="D124" i="15"/>
  <c r="D125" i="15"/>
  <c r="D126" i="15"/>
  <c r="D127" i="15"/>
  <c r="D128" i="15"/>
  <c r="D129" i="15"/>
  <c r="D130" i="15"/>
  <c r="D131" i="15"/>
  <c r="D132" i="15"/>
  <c r="D133" i="15"/>
  <c r="D134" i="15"/>
  <c r="D135" i="15"/>
  <c r="D136" i="15"/>
  <c r="D137" i="15"/>
  <c r="D138" i="15"/>
  <c r="D139" i="15"/>
  <c r="D140" i="15"/>
  <c r="D141" i="15"/>
  <c r="D142" i="15"/>
  <c r="D143" i="15"/>
  <c r="D144" i="15"/>
  <c r="D145" i="15"/>
  <c r="D146" i="15"/>
  <c r="D147" i="15"/>
  <c r="D148" i="15"/>
  <c r="D149" i="15"/>
  <c r="D150" i="15"/>
  <c r="D151" i="15"/>
  <c r="D152" i="15"/>
  <c r="D153" i="15"/>
  <c r="D154" i="15"/>
  <c r="D155" i="15"/>
  <c r="D156" i="15"/>
  <c r="D157" i="15"/>
  <c r="D158" i="15"/>
  <c r="D159" i="15"/>
  <c r="D160" i="15"/>
  <c r="D161" i="15"/>
  <c r="D162" i="15"/>
  <c r="D163" i="15"/>
  <c r="D164" i="15"/>
  <c r="D165" i="15"/>
  <c r="D166" i="15"/>
  <c r="D167" i="15"/>
  <c r="D168" i="15"/>
  <c r="D169" i="15"/>
  <c r="D170" i="15"/>
  <c r="D171" i="15"/>
  <c r="D172" i="15"/>
  <c r="D173" i="15"/>
  <c r="D174" i="15"/>
  <c r="D175" i="15"/>
  <c r="D176" i="15"/>
  <c r="D177" i="15"/>
  <c r="D178" i="15"/>
  <c r="D179" i="15"/>
  <c r="D180" i="15"/>
  <c r="D181" i="15"/>
  <c r="D182" i="15"/>
  <c r="D183" i="15"/>
  <c r="D184" i="15"/>
  <c r="D185" i="15"/>
  <c r="D186" i="15"/>
  <c r="D187" i="15"/>
  <c r="D188" i="15"/>
  <c r="D189" i="15"/>
  <c r="D190" i="15"/>
  <c r="D191" i="15"/>
  <c r="D192" i="15"/>
  <c r="D193" i="15"/>
  <c r="D194" i="15"/>
  <c r="D195" i="15"/>
  <c r="D196" i="15"/>
  <c r="D197" i="15"/>
  <c r="D198" i="15"/>
  <c r="D199" i="15"/>
  <c r="D200" i="15"/>
  <c r="D201" i="15"/>
  <c r="D202" i="15"/>
  <c r="D203" i="15"/>
  <c r="D204" i="15"/>
  <c r="D205" i="15"/>
  <c r="D206" i="15"/>
  <c r="D207" i="15"/>
  <c r="D208" i="15"/>
  <c r="D209" i="15"/>
  <c r="D210" i="15"/>
  <c r="D211" i="15"/>
  <c r="D212" i="15"/>
  <c r="D213" i="15"/>
  <c r="D214" i="15"/>
  <c r="D215" i="15"/>
  <c r="D216" i="15"/>
  <c r="D217" i="15"/>
  <c r="D218" i="15"/>
  <c r="D219" i="15"/>
  <c r="D220" i="15"/>
  <c r="D221" i="15"/>
  <c r="D222" i="15"/>
  <c r="D223" i="15"/>
  <c r="D224" i="15"/>
  <c r="D225" i="15"/>
  <c r="D226" i="15"/>
  <c r="D227" i="15"/>
  <c r="D228" i="15"/>
  <c r="D229" i="15"/>
  <c r="D230" i="15"/>
  <c r="D231" i="15"/>
  <c r="D4" i="15"/>
  <c r="D218" i="30" l="1"/>
  <c r="D219" i="30"/>
  <c r="D220" i="30"/>
  <c r="D221" i="30"/>
  <c r="D222" i="30"/>
  <c r="D223" i="30"/>
  <c r="D224" i="30"/>
  <c r="D225" i="30"/>
  <c r="D226" i="30"/>
  <c r="D227" i="30"/>
  <c r="D228" i="30"/>
  <c r="D229" i="30"/>
  <c r="D230" i="30"/>
  <c r="D231" i="30"/>
  <c r="D232" i="30"/>
  <c r="D233" i="30"/>
  <c r="D234" i="30"/>
  <c r="D235" i="30"/>
  <c r="D236" i="30"/>
  <c r="D237" i="30"/>
  <c r="D238" i="30"/>
  <c r="D239" i="30"/>
  <c r="D240" i="30"/>
  <c r="D241" i="30"/>
  <c r="D242" i="30"/>
  <c r="D243" i="30"/>
  <c r="D244" i="30"/>
  <c r="D245" i="30"/>
  <c r="D246" i="30"/>
  <c r="D247" i="30"/>
  <c r="D248" i="30"/>
  <c r="D249" i="30"/>
  <c r="D250" i="30"/>
  <c r="D251" i="30"/>
  <c r="D323" i="30" l="1"/>
  <c r="D324" i="30"/>
  <c r="D325" i="30"/>
  <c r="D326" i="30"/>
  <c r="D327" i="30"/>
  <c r="D328" i="30"/>
  <c r="D329" i="30"/>
  <c r="D330" i="30"/>
  <c r="D331" i="30"/>
  <c r="D332" i="30"/>
  <c r="D333" i="30"/>
  <c r="D334" i="30"/>
  <c r="D335" i="30"/>
  <c r="D336" i="30"/>
  <c r="D337" i="30"/>
  <c r="D338" i="30"/>
  <c r="D339" i="30"/>
  <c r="D340" i="30"/>
  <c r="D341" i="30"/>
  <c r="D342" i="30"/>
  <c r="D343" i="30"/>
  <c r="D344" i="30"/>
  <c r="D345" i="30"/>
  <c r="D346" i="30"/>
  <c r="D347" i="30"/>
  <c r="D348" i="30"/>
  <c r="D349" i="30"/>
  <c r="D350" i="30"/>
  <c r="D351" i="30"/>
  <c r="D352" i="30"/>
  <c r="D353" i="30"/>
  <c r="D354" i="30"/>
  <c r="D355" i="30"/>
  <c r="D356" i="30"/>
  <c r="D9" i="30"/>
  <c r="D10" i="30"/>
  <c r="D11" i="30"/>
  <c r="D12" i="30"/>
  <c r="D13" i="30"/>
  <c r="D14" i="30"/>
  <c r="D15" i="30"/>
  <c r="D16" i="30"/>
  <c r="D17" i="30"/>
  <c r="D18" i="30"/>
  <c r="D19" i="30"/>
  <c r="D20" i="30"/>
  <c r="D21" i="30"/>
  <c r="D22" i="30"/>
  <c r="D23" i="30"/>
  <c r="D24" i="30"/>
  <c r="D25" i="30"/>
  <c r="D26" i="30"/>
  <c r="D27" i="30"/>
  <c r="D28" i="30"/>
  <c r="D29" i="30"/>
  <c r="D30" i="30"/>
  <c r="D31" i="30"/>
  <c r="D32" i="30"/>
  <c r="D33" i="30"/>
  <c r="D34" i="30"/>
  <c r="D35" i="30"/>
  <c r="D36" i="30"/>
  <c r="D37" i="30"/>
  <c r="D38" i="30"/>
  <c r="D39" i="30"/>
  <c r="D40" i="30"/>
  <c r="D41" i="30"/>
  <c r="D43" i="30"/>
  <c r="D44" i="30"/>
  <c r="D45" i="30"/>
  <c r="D46" i="30"/>
  <c r="D47" i="30"/>
  <c r="D48" i="30"/>
  <c r="D49" i="30"/>
  <c r="D50" i="30"/>
  <c r="D51" i="30"/>
  <c r="D52" i="30"/>
  <c r="D53" i="30"/>
  <c r="D54" i="30"/>
  <c r="D55" i="30"/>
  <c r="D56" i="30"/>
  <c r="D57" i="30"/>
  <c r="D58" i="30"/>
  <c r="D59" i="30"/>
  <c r="D60" i="30"/>
  <c r="D61" i="30"/>
  <c r="D62" i="30"/>
  <c r="D63" i="30"/>
  <c r="D64" i="30"/>
  <c r="D65" i="30"/>
  <c r="D66" i="30"/>
  <c r="D67" i="30"/>
  <c r="D68" i="30"/>
  <c r="D69" i="30"/>
  <c r="D70" i="30"/>
  <c r="D71" i="30"/>
  <c r="D72" i="30"/>
  <c r="D73" i="30"/>
  <c r="D74" i="30"/>
  <c r="D75" i="30"/>
  <c r="D76" i="30"/>
  <c r="D78" i="30"/>
  <c r="D79" i="30"/>
  <c r="D80" i="30"/>
  <c r="D81" i="30"/>
  <c r="D82" i="30"/>
  <c r="D83" i="30"/>
  <c r="D84" i="30"/>
  <c r="D85" i="30"/>
  <c r="D86" i="30"/>
  <c r="D87" i="30"/>
  <c r="D88" i="30"/>
  <c r="D89" i="30"/>
  <c r="D90" i="30"/>
  <c r="D91" i="30"/>
  <c r="D92" i="30"/>
  <c r="D93" i="30"/>
  <c r="D94" i="30"/>
  <c r="D95" i="30"/>
  <c r="D96" i="30"/>
  <c r="D97" i="30"/>
  <c r="D98" i="30"/>
  <c r="D99" i="30"/>
  <c r="D100" i="30"/>
  <c r="D101" i="30"/>
  <c r="D102" i="30"/>
  <c r="D103" i="30"/>
  <c r="D104" i="30"/>
  <c r="D105" i="30"/>
  <c r="D106" i="30"/>
  <c r="D107" i="30"/>
  <c r="D108" i="30"/>
  <c r="D109" i="30"/>
  <c r="D110" i="30"/>
  <c r="D111" i="30"/>
  <c r="D113" i="30"/>
  <c r="D114" i="30"/>
  <c r="D115" i="30"/>
  <c r="D116" i="30"/>
  <c r="D117" i="30"/>
  <c r="D118" i="30"/>
  <c r="D119" i="30"/>
  <c r="D120" i="30"/>
  <c r="D121" i="30"/>
  <c r="D122" i="30"/>
  <c r="D123" i="30"/>
  <c r="D124" i="30"/>
  <c r="D125" i="30"/>
  <c r="D126" i="30"/>
  <c r="D127" i="30"/>
  <c r="D128" i="30"/>
  <c r="D129" i="30"/>
  <c r="D130" i="30"/>
  <c r="D131" i="30"/>
  <c r="D132" i="30"/>
  <c r="D133" i="30"/>
  <c r="D134" i="30"/>
  <c r="D135" i="30"/>
  <c r="D136" i="30"/>
  <c r="D137" i="30"/>
  <c r="D138" i="30"/>
  <c r="D139" i="30"/>
  <c r="D140" i="30"/>
  <c r="D141" i="30"/>
  <c r="D142" i="30"/>
  <c r="D143" i="30"/>
  <c r="D144" i="30"/>
  <c r="D145" i="30"/>
  <c r="D146" i="30"/>
  <c r="D148" i="30"/>
  <c r="D149" i="30"/>
  <c r="D150" i="30"/>
  <c r="D151" i="30"/>
  <c r="D152" i="30"/>
  <c r="D153" i="30"/>
  <c r="D154" i="30"/>
  <c r="D155" i="30"/>
  <c r="D156" i="30"/>
  <c r="D157" i="30"/>
  <c r="D158" i="30"/>
  <c r="D159" i="30"/>
  <c r="D160" i="30"/>
  <c r="D161" i="30"/>
  <c r="D162" i="30"/>
  <c r="D163" i="30"/>
  <c r="D164" i="30"/>
  <c r="D165" i="30"/>
  <c r="D166" i="30"/>
  <c r="D167" i="30"/>
  <c r="D168" i="30"/>
  <c r="D169" i="30"/>
  <c r="D170" i="30"/>
  <c r="D171" i="30"/>
  <c r="D172" i="30"/>
  <c r="D173" i="30"/>
  <c r="D174" i="30"/>
  <c r="D175" i="30"/>
  <c r="D176" i="30"/>
  <c r="D177" i="30"/>
  <c r="D178" i="30"/>
  <c r="D179" i="30"/>
  <c r="D180" i="30"/>
  <c r="D181" i="30"/>
  <c r="D183" i="30"/>
  <c r="D184" i="30"/>
  <c r="D185" i="30"/>
  <c r="D186" i="30"/>
  <c r="D187" i="30"/>
  <c r="D188" i="30"/>
  <c r="D189" i="30"/>
  <c r="D190" i="30"/>
  <c r="D191" i="30"/>
  <c r="D192" i="30"/>
  <c r="D193" i="30"/>
  <c r="D194" i="30"/>
  <c r="D195" i="30"/>
  <c r="D196" i="30"/>
  <c r="D197" i="30"/>
  <c r="D198" i="30"/>
  <c r="D199" i="30"/>
  <c r="D200" i="30"/>
  <c r="D201" i="30"/>
  <c r="D202" i="30"/>
  <c r="D203" i="30"/>
  <c r="D204" i="30"/>
  <c r="D205" i="30"/>
  <c r="D206" i="30"/>
  <c r="D207" i="30"/>
  <c r="D208" i="30"/>
  <c r="D209" i="30"/>
  <c r="D210" i="30"/>
  <c r="D211" i="30"/>
  <c r="D212" i="30"/>
  <c r="D213" i="30"/>
  <c r="D214" i="30"/>
  <c r="D215" i="30"/>
  <c r="D216" i="30"/>
  <c r="D8" i="30"/>
  <c r="E3" i="30"/>
  <c r="E436" i="30" l="1"/>
  <c r="F436" i="30"/>
  <c r="E423" i="30"/>
  <c r="F423" i="30"/>
  <c r="E424" i="30"/>
  <c r="F425" i="30"/>
  <c r="E422" i="30"/>
  <c r="F424" i="30"/>
  <c r="E425" i="30"/>
  <c r="F422" i="30"/>
  <c r="E412" i="30"/>
  <c r="E416" i="30"/>
  <c r="F413" i="30"/>
  <c r="F412" i="30"/>
  <c r="F416" i="30"/>
  <c r="F411" i="30"/>
  <c r="E411" i="30"/>
  <c r="E413" i="30"/>
  <c r="E414" i="30"/>
  <c r="E415" i="30"/>
  <c r="F415" i="30"/>
  <c r="F414" i="30"/>
  <c r="F402" i="30"/>
  <c r="E402" i="30"/>
  <c r="F400" i="30"/>
  <c r="E400" i="30"/>
  <c r="E398" i="30"/>
  <c r="F399" i="30"/>
  <c r="E399" i="30"/>
  <c r="F398" i="30"/>
  <c r="E20" i="14"/>
  <c r="C18" i="14"/>
  <c r="D15" i="14"/>
  <c r="E12" i="14"/>
  <c r="C10" i="14"/>
  <c r="D20" i="14"/>
  <c r="E17" i="14"/>
  <c r="C15" i="14"/>
  <c r="D12" i="14"/>
  <c r="E9" i="14"/>
  <c r="E10" i="14"/>
  <c r="E15" i="14"/>
  <c r="C20" i="14"/>
  <c r="D17" i="14"/>
  <c r="E14" i="14"/>
  <c r="C12" i="14"/>
  <c r="D9" i="14"/>
  <c r="D18" i="14"/>
  <c r="E19" i="14"/>
  <c r="C17" i="14"/>
  <c r="D14" i="14"/>
  <c r="E11" i="14"/>
  <c r="C9" i="14"/>
  <c r="D13" i="14"/>
  <c r="D19" i="14"/>
  <c r="E16" i="14"/>
  <c r="C14" i="14"/>
  <c r="D11" i="14"/>
  <c r="C16" i="14"/>
  <c r="C13" i="14"/>
  <c r="C19" i="14"/>
  <c r="D16" i="14"/>
  <c r="E13" i="14"/>
  <c r="C11" i="14"/>
  <c r="E18" i="14"/>
  <c r="D10" i="14"/>
  <c r="E403" i="30"/>
  <c r="E408" i="30"/>
  <c r="F428" i="30"/>
  <c r="F426" i="30"/>
  <c r="E426" i="30"/>
  <c r="E428" i="30"/>
  <c r="E427" i="30"/>
  <c r="F427" i="30"/>
  <c r="E429" i="30"/>
  <c r="F429" i="30"/>
  <c r="E397" i="30"/>
  <c r="F407" i="30"/>
  <c r="E404" i="30"/>
  <c r="E407" i="30"/>
  <c r="E409" i="30"/>
  <c r="E405" i="30"/>
  <c r="E406" i="30"/>
  <c r="F403" i="30"/>
  <c r="F409" i="30"/>
  <c r="E401" i="30"/>
  <c r="F404" i="30"/>
  <c r="F408" i="30"/>
  <c r="F397" i="30"/>
  <c r="F405" i="30"/>
  <c r="F419" i="30"/>
  <c r="E419" i="30"/>
  <c r="F418" i="30"/>
  <c r="E418" i="30"/>
  <c r="E420" i="30"/>
  <c r="F417" i="30"/>
  <c r="F410" i="30"/>
  <c r="E417" i="30"/>
  <c r="F420" i="30"/>
  <c r="E421" i="30"/>
  <c r="F421" i="30"/>
  <c r="F401" i="30"/>
  <c r="E410" i="30"/>
  <c r="F406" i="30"/>
  <c r="E396" i="30"/>
  <c r="F396" i="30"/>
  <c r="D92" i="18" l="1"/>
  <c r="E92" i="18" s="1"/>
  <c r="C45" i="22" s="1"/>
  <c r="D45" i="22" s="1"/>
  <c r="D98" i="18"/>
  <c r="F98" i="18" s="1"/>
  <c r="D104" i="18"/>
  <c r="E104" i="18" s="1"/>
  <c r="C47" i="22" s="1"/>
  <c r="D110" i="18"/>
  <c r="F110" i="18" s="1"/>
  <c r="C17" i="23"/>
  <c r="D58" i="18"/>
  <c r="D82" i="18"/>
  <c r="D85" i="18"/>
  <c r="D83" i="18"/>
  <c r="D39" i="18"/>
  <c r="D32" i="18"/>
  <c r="D84" i="18"/>
  <c r="E432" i="30"/>
  <c r="D62" i="18"/>
  <c r="D61" i="18"/>
  <c r="D59" i="18"/>
  <c r="D63" i="18"/>
  <c r="D60" i="18"/>
  <c r="F432" i="30"/>
  <c r="E435" i="30"/>
  <c r="F435" i="30"/>
  <c r="E434" i="30"/>
  <c r="F434" i="30"/>
  <c r="D31" i="18"/>
  <c r="G31" i="18" s="1"/>
  <c r="D30" i="18"/>
  <c r="E30" i="18" s="1"/>
  <c r="C13" i="22" s="1"/>
  <c r="F431" i="30"/>
  <c r="E431" i="30"/>
  <c r="F430" i="30"/>
  <c r="D78" i="18"/>
  <c r="D71" i="18"/>
  <c r="F71" i="18" s="1"/>
  <c r="D49" i="18"/>
  <c r="D46" i="18"/>
  <c r="D52" i="18"/>
  <c r="D81" i="18"/>
  <c r="D80" i="18"/>
  <c r="D48" i="18"/>
  <c r="D47" i="18"/>
  <c r="D79" i="18"/>
  <c r="D38" i="18"/>
  <c r="D51" i="18"/>
  <c r="D50" i="18"/>
  <c r="D45" i="18"/>
  <c r="D24" i="18"/>
  <c r="D23" i="18"/>
  <c r="F433" i="30"/>
  <c r="E433" i="30"/>
  <c r="E430" i="30"/>
  <c r="E110" i="18" l="1"/>
  <c r="C53" i="22" s="1"/>
  <c r="D53" i="22" s="1"/>
  <c r="F92" i="18"/>
  <c r="G92" i="18"/>
  <c r="H92" i="18"/>
  <c r="I92" i="18"/>
  <c r="G76" i="23"/>
  <c r="H76" i="23" s="1"/>
  <c r="G63" i="23"/>
  <c r="H63" i="23" s="1"/>
  <c r="G55" i="23"/>
  <c r="H55" i="23" s="1"/>
  <c r="G42" i="23"/>
  <c r="H42" i="23" s="1"/>
  <c r="G34" i="23"/>
  <c r="H34" i="23" s="1"/>
  <c r="G53" i="23"/>
  <c r="H53" i="23" s="1"/>
  <c r="G26" i="23"/>
  <c r="H26" i="23" s="1"/>
  <c r="G71" i="23"/>
  <c r="H71" i="23" s="1"/>
  <c r="G75" i="23"/>
  <c r="H75" i="23" s="1"/>
  <c r="G62" i="23"/>
  <c r="H62" i="23" s="1"/>
  <c r="G54" i="23"/>
  <c r="H54" i="23" s="1"/>
  <c r="G41" i="23"/>
  <c r="H41" i="23" s="1"/>
  <c r="G33" i="23"/>
  <c r="H33" i="23" s="1"/>
  <c r="G40" i="23"/>
  <c r="H40" i="23" s="1"/>
  <c r="G39" i="23"/>
  <c r="H39" i="23" s="1"/>
  <c r="B20" i="23"/>
  <c r="G37" i="23"/>
  <c r="H37" i="23" s="1"/>
  <c r="G74" i="23"/>
  <c r="H74" i="23" s="1"/>
  <c r="G61" i="23"/>
  <c r="H61" i="23" s="1"/>
  <c r="G32" i="23"/>
  <c r="H32" i="23" s="1"/>
  <c r="G38" i="23"/>
  <c r="H38" i="23" s="1"/>
  <c r="G58" i="23"/>
  <c r="H58" i="23" s="1"/>
  <c r="G73" i="23"/>
  <c r="H73" i="23" s="1"/>
  <c r="G60" i="23"/>
  <c r="H60" i="23" s="1"/>
  <c r="G52" i="23"/>
  <c r="H52" i="23" s="1"/>
  <c r="G51" i="23"/>
  <c r="H51" i="23" s="1"/>
  <c r="G50" i="23"/>
  <c r="H50" i="23" s="1"/>
  <c r="G35" i="23"/>
  <c r="H35" i="23" s="1"/>
  <c r="G72" i="23"/>
  <c r="H72" i="23" s="1"/>
  <c r="G59" i="23"/>
  <c r="H59" i="23" s="1"/>
  <c r="G70" i="23"/>
  <c r="H70" i="23" s="1"/>
  <c r="I70" i="23" s="1"/>
  <c r="G57" i="23"/>
  <c r="H57" i="23" s="1"/>
  <c r="G49" i="23"/>
  <c r="H49" i="23" s="1"/>
  <c r="G36" i="23"/>
  <c r="H36" i="23" s="1"/>
  <c r="G64" i="23"/>
  <c r="H64" i="23" s="1"/>
  <c r="G56" i="23"/>
  <c r="H56" i="23" s="1"/>
  <c r="G43" i="23"/>
  <c r="H43" i="23" s="1"/>
  <c r="G110" i="18"/>
  <c r="F104" i="18"/>
  <c r="H104" i="18"/>
  <c r="I104" i="18"/>
  <c r="E98" i="18"/>
  <c r="C46" i="22" s="1"/>
  <c r="G98" i="18"/>
  <c r="G104" i="18"/>
  <c r="E71" i="18"/>
  <c r="G71" i="18"/>
  <c r="E52" i="18"/>
  <c r="G52" i="18"/>
  <c r="F52" i="18"/>
  <c r="E13" i="22"/>
  <c r="D13" i="22"/>
  <c r="E39" i="18"/>
  <c r="F39" i="18"/>
  <c r="G39" i="18"/>
  <c r="G62" i="18"/>
  <c r="G58" i="18"/>
  <c r="F62" i="18"/>
  <c r="F58" i="18"/>
  <c r="E60" i="18"/>
  <c r="C31" i="22" s="1"/>
  <c r="G61" i="18"/>
  <c r="E63" i="18"/>
  <c r="C34" i="22" s="1"/>
  <c r="F59" i="18"/>
  <c r="F61" i="18"/>
  <c r="E62" i="18"/>
  <c r="C33" i="22" s="1"/>
  <c r="E59" i="18"/>
  <c r="C30" i="22" s="1"/>
  <c r="E58" i="18"/>
  <c r="C29" i="22" s="1"/>
  <c r="G60" i="18"/>
  <c r="E61" i="18"/>
  <c r="C32" i="22" s="1"/>
  <c r="F60" i="18"/>
  <c r="G63" i="18"/>
  <c r="G59" i="18"/>
  <c r="F63" i="18"/>
  <c r="F38" i="18"/>
  <c r="G30" i="18"/>
  <c r="G85" i="18"/>
  <c r="E82" i="18"/>
  <c r="C41" i="22" s="1"/>
  <c r="F85" i="18"/>
  <c r="F82" i="18"/>
  <c r="F83" i="18"/>
  <c r="G82" i="18"/>
  <c r="E83" i="18"/>
  <c r="C42" i="22" s="1"/>
  <c r="F84" i="18"/>
  <c r="G83" i="18"/>
  <c r="E84" i="18"/>
  <c r="C43" i="22" s="1"/>
  <c r="G84" i="18"/>
  <c r="E85" i="18"/>
  <c r="C44" i="22" s="1"/>
  <c r="E45" i="22" s="1"/>
  <c r="H30" i="18"/>
  <c r="I30" i="18"/>
  <c r="F30" i="18"/>
  <c r="E31" i="18"/>
  <c r="C14" i="22" s="1"/>
  <c r="F31" i="18"/>
  <c r="F32" i="18"/>
  <c r="E32" i="18"/>
  <c r="C15" i="22" s="1"/>
  <c r="G32" i="18"/>
  <c r="G50" i="18"/>
  <c r="G49" i="18"/>
  <c r="G48" i="18"/>
  <c r="F46" i="18"/>
  <c r="G38" i="18"/>
  <c r="F79" i="18"/>
  <c r="F78" i="18"/>
  <c r="G78" i="18"/>
  <c r="E78" i="18"/>
  <c r="G80" i="18"/>
  <c r="F81" i="18"/>
  <c r="G79" i="18"/>
  <c r="F80" i="18"/>
  <c r="G81" i="18"/>
  <c r="E38" i="18"/>
  <c r="H38" i="18" s="1"/>
  <c r="F24" i="18"/>
  <c r="G24" i="18"/>
  <c r="G23" i="18"/>
  <c r="F23" i="18"/>
  <c r="E80" i="18"/>
  <c r="C39" i="22" s="1"/>
  <c r="E81" i="18"/>
  <c r="C40" i="22" s="1"/>
  <c r="E79" i="18"/>
  <c r="C38" i="22" s="1"/>
  <c r="E24" i="18"/>
  <c r="C11" i="22" s="1"/>
  <c r="E23" i="18"/>
  <c r="F45" i="18"/>
  <c r="G45" i="18"/>
  <c r="F47" i="18"/>
  <c r="E45" i="18"/>
  <c r="G47" i="18"/>
  <c r="E47" i="18"/>
  <c r="E51" i="18"/>
  <c r="F51" i="18"/>
  <c r="G51" i="18"/>
  <c r="E50" i="18"/>
  <c r="F50" i="18"/>
  <c r="E49" i="18"/>
  <c r="F49" i="18"/>
  <c r="E48" i="18"/>
  <c r="F48" i="18"/>
  <c r="G46" i="18"/>
  <c r="E46" i="18"/>
  <c r="E47" i="22" l="1"/>
  <c r="D47" i="22"/>
  <c r="I98" i="18"/>
  <c r="H98" i="18"/>
  <c r="E46" i="22"/>
  <c r="E53" i="22"/>
  <c r="H110" i="18"/>
  <c r="I110" i="18"/>
  <c r="E29" i="22"/>
  <c r="D29" i="22"/>
  <c r="E40" i="22"/>
  <c r="D40" i="22"/>
  <c r="E44" i="22"/>
  <c r="D44" i="22"/>
  <c r="D30" i="22"/>
  <c r="E30" i="22"/>
  <c r="E15" i="22"/>
  <c r="D15" i="22"/>
  <c r="D33" i="22"/>
  <c r="E33" i="22"/>
  <c r="D43" i="22"/>
  <c r="E43" i="22"/>
  <c r="D41" i="22"/>
  <c r="E41" i="22"/>
  <c r="D39" i="22"/>
  <c r="E39" i="22"/>
  <c r="D11" i="22"/>
  <c r="E11" i="22"/>
  <c r="D14" i="22"/>
  <c r="E14" i="22"/>
  <c r="D34" i="22"/>
  <c r="E34" i="22"/>
  <c r="E38" i="22"/>
  <c r="D38" i="22"/>
  <c r="D42" i="22"/>
  <c r="E42" i="22"/>
  <c r="E32" i="22"/>
  <c r="D32" i="22"/>
  <c r="H39" i="18"/>
  <c r="C18" i="22"/>
  <c r="D31" i="22"/>
  <c r="E31" i="22"/>
  <c r="I39" i="18"/>
  <c r="H83" i="18"/>
  <c r="I83" i="18"/>
  <c r="H63" i="18"/>
  <c r="I63" i="18"/>
  <c r="H61" i="18"/>
  <c r="I61" i="18"/>
  <c r="H85" i="18"/>
  <c r="I85" i="18"/>
  <c r="H60" i="18"/>
  <c r="I60" i="18"/>
  <c r="I58" i="18"/>
  <c r="H58" i="18"/>
  <c r="H84" i="18"/>
  <c r="I84" i="18"/>
  <c r="H82" i="18"/>
  <c r="I82" i="18"/>
  <c r="H59" i="18"/>
  <c r="I59" i="18"/>
  <c r="H62" i="18"/>
  <c r="I62" i="18"/>
  <c r="H32" i="18"/>
  <c r="I32" i="18"/>
  <c r="H31" i="18"/>
  <c r="I31" i="18"/>
  <c r="H78" i="18"/>
  <c r="H71" i="18"/>
  <c r="H46" i="18"/>
  <c r="H49" i="18"/>
  <c r="H48" i="18"/>
  <c r="H52" i="18"/>
  <c r="H51" i="18"/>
  <c r="H50" i="18"/>
  <c r="H47" i="18"/>
  <c r="H45" i="18"/>
  <c r="D46" i="22" l="1"/>
  <c r="E18" i="22"/>
  <c r="D18" i="22"/>
  <c r="H23" i="18"/>
  <c r="B7" i="14" l="1"/>
  <c r="I50" i="18" l="1"/>
  <c r="C25" i="22" l="1"/>
  <c r="E25" i="22" l="1"/>
  <c r="D25" i="22"/>
  <c r="C35" i="22"/>
  <c r="I71" i="18"/>
  <c r="C37" i="22"/>
  <c r="I78" i="18"/>
  <c r="C24" i="22"/>
  <c r="I49" i="18"/>
  <c r="C23" i="22"/>
  <c r="I48" i="18"/>
  <c r="C22" i="22"/>
  <c r="I47" i="18"/>
  <c r="C21" i="22"/>
  <c r="D21" i="22" s="1"/>
  <c r="I46" i="18"/>
  <c r="C20" i="22"/>
  <c r="I45" i="18"/>
  <c r="C27" i="22"/>
  <c r="I52" i="18"/>
  <c r="C26" i="22"/>
  <c r="I51" i="18"/>
  <c r="C17" i="22"/>
  <c r="I38" i="18"/>
  <c r="H79" i="18"/>
  <c r="E20" i="22" l="1"/>
  <c r="D20" i="22"/>
  <c r="E37" i="22"/>
  <c r="D37" i="22"/>
  <c r="E17" i="22"/>
  <c r="D17" i="22"/>
  <c r="E26" i="22"/>
  <c r="D26" i="22"/>
  <c r="E22" i="22"/>
  <c r="D22" i="22"/>
  <c r="E35" i="22"/>
  <c r="D35" i="22"/>
  <c r="E24" i="22"/>
  <c r="D24" i="22"/>
  <c r="E27" i="22"/>
  <c r="D27" i="22"/>
  <c r="E23" i="22"/>
  <c r="D23" i="22"/>
  <c r="E21" i="22"/>
  <c r="H80" i="18"/>
  <c r="I79" i="18"/>
  <c r="H81" i="18"/>
  <c r="I81" i="18" l="1"/>
  <c r="I80" i="18"/>
  <c r="I76" i="23" l="1"/>
  <c r="I75" i="23"/>
  <c r="I74" i="23"/>
  <c r="I73" i="23"/>
  <c r="I72" i="23"/>
  <c r="I71" i="23"/>
  <c r="I64" i="23"/>
  <c r="I63" i="23"/>
  <c r="I62" i="23"/>
  <c r="I61" i="23"/>
  <c r="I60" i="23"/>
  <c r="I59" i="23"/>
  <c r="I58" i="23"/>
  <c r="I57" i="23"/>
  <c r="I56" i="23"/>
  <c r="I55" i="23"/>
  <c r="I54" i="23"/>
  <c r="I53" i="23"/>
  <c r="I52" i="23"/>
  <c r="I51" i="23"/>
  <c r="I50" i="23"/>
  <c r="I49" i="23"/>
  <c r="I43" i="23"/>
  <c r="I42" i="23"/>
  <c r="I41" i="23"/>
  <c r="I40" i="23"/>
  <c r="I39" i="23"/>
  <c r="I38" i="23"/>
  <c r="I37" i="23"/>
  <c r="I36" i="23"/>
  <c r="I35" i="23"/>
  <c r="I34" i="23"/>
  <c r="I33" i="23"/>
  <c r="I32" i="23"/>
  <c r="I26" i="23"/>
  <c r="C52" i="22" l="1"/>
  <c r="C51" i="22"/>
  <c r="C50" i="22"/>
  <c r="C49" i="22"/>
  <c r="D49" i="22" l="1"/>
  <c r="E49" i="22"/>
  <c r="D50" i="22"/>
  <c r="E50" i="22"/>
  <c r="D51" i="22"/>
  <c r="E51" i="22"/>
  <c r="D52" i="22"/>
  <c r="E52" i="22"/>
  <c r="C10" i="22" l="1"/>
  <c r="H24" i="18"/>
  <c r="E10" i="22" l="1"/>
  <c r="D10" i="22"/>
  <c r="I23" i="18"/>
  <c r="I24" i="18"/>
</calcChain>
</file>

<file path=xl/sharedStrings.xml><?xml version="1.0" encoding="utf-8"?>
<sst xmlns="http://schemas.openxmlformats.org/spreadsheetml/2006/main" count="4617" uniqueCount="828">
  <si>
    <t>Compound Code</t>
  </si>
  <si>
    <t>Dispense as Written/Product Selection Code</t>
  </si>
  <si>
    <t>Fill Number</t>
  </si>
  <si>
    <t>Dispensing Status</t>
  </si>
  <si>
    <t>Adjustment/Deletion Code</t>
  </si>
  <si>
    <t>Non-Standard Format Code</t>
  </si>
  <si>
    <t>Catastrophic Coverage Code</t>
  </si>
  <si>
    <t>Gross Drug Cost Above Out-of-Pocket Threshold (GDCA)</t>
  </si>
  <si>
    <t>Other True Out-of-Pocket (TrOOP) Amount</t>
  </si>
  <si>
    <t>Low-Income Cost-Sharing Subsidy Amount (LICS)</t>
  </si>
  <si>
    <t>Covered D Plan Paid Amount (CPP)</t>
  </si>
  <si>
    <t>*Sourced from the CCW PDE Data Dictionary.</t>
  </si>
  <si>
    <t>This field indicates the number fill of the current dispensed supply.</t>
  </si>
  <si>
    <t>Select X to Request</t>
  </si>
  <si>
    <t>RX Pricing Exception Code</t>
  </si>
  <si>
    <t>Prescription Origin Code</t>
  </si>
  <si>
    <t>Gap Discount Amount reported by the Submitting Plan</t>
  </si>
  <si>
    <t>Service Provider ID</t>
  </si>
  <si>
    <t>Service Provider ID Qualifier Code</t>
  </si>
  <si>
    <t>Prescriber ID</t>
  </si>
  <si>
    <t>Prescriber ID Qualifier Code</t>
  </si>
  <si>
    <t>VARIABLE LABEL</t>
  </si>
  <si>
    <t>YEAR(S) AVAILABLE</t>
  </si>
  <si>
    <t>Health and Retirement Study (HRS)</t>
  </si>
  <si>
    <t>Wisconsin Longitudinal Study (WLS)</t>
  </si>
  <si>
    <t>Predictors of Severity of Alzheimer’s Disease Study (PSAD)</t>
  </si>
  <si>
    <t>Standard</t>
  </si>
  <si>
    <t>Not available at this time</t>
  </si>
  <si>
    <r>
      <rPr>
        <sz val="16"/>
        <color rgb="FFFF0000"/>
        <rFont val="Franklin Gothic Book"/>
        <family val="2"/>
      </rPr>
      <t>Internal-Only</t>
    </r>
    <r>
      <rPr>
        <sz val="16"/>
        <color theme="1"/>
        <rFont val="Franklin Gothic Book"/>
        <family val="2"/>
      </rPr>
      <t xml:space="preserve"> Workbook Formulas and Validations</t>
    </r>
  </si>
  <si>
    <t>This worksheet contains the formulas and validations featured in this Request Form.</t>
  </si>
  <si>
    <t>N/A</t>
  </si>
  <si>
    <t>Variable Name</t>
  </si>
  <si>
    <t>NLTCS</t>
  </si>
  <si>
    <t>LLFS</t>
  </si>
  <si>
    <t>Encrypted</t>
  </si>
  <si>
    <t>Blanked</t>
  </si>
  <si>
    <t>Dropped</t>
  </si>
  <si>
    <t>Aggregated as yyyy-mm-01</t>
  </si>
  <si>
    <t>MDS</t>
  </si>
  <si>
    <t>PSAD</t>
  </si>
  <si>
    <t>AVAILABILITY</t>
  </si>
  <si>
    <t>Patient Pay Amount</t>
  </si>
  <si>
    <t>Days Supply</t>
  </si>
  <si>
    <t>Patient Residence Code</t>
  </si>
  <si>
    <t>The Brand-Generic Code reported by the submitting plan</t>
  </si>
  <si>
    <t>Drug Coverage Status Code</t>
  </si>
  <si>
    <t>Submission Clarification Code</t>
  </si>
  <si>
    <t>Quantity Dispensed</t>
  </si>
  <si>
    <t>RX Service Date</t>
  </si>
  <si>
    <t>X</t>
  </si>
  <si>
    <t>Included</t>
  </si>
  <si>
    <t>RX_DOS_DT</t>
  </si>
  <si>
    <t>DAYS_SUPPLY</t>
  </si>
  <si>
    <t>PATIENT_PAY_AMT</t>
  </si>
  <si>
    <t>TOTAL_CST</t>
  </si>
  <si>
    <t>CLM_PTNT_RSDNC_CD</t>
  </si>
  <si>
    <t>CLM_LTC_DSPNSNG_MTHD_CD</t>
  </si>
  <si>
    <t>COVERAGE_STAT_CD</t>
  </si>
  <si>
    <t>BRND_GNRC_CD</t>
  </si>
  <si>
    <t>COMPUND_CD</t>
  </si>
  <si>
    <t>DAW_CD</t>
  </si>
  <si>
    <t>DISP_STAT_CD</t>
  </si>
  <si>
    <t>FILL_NUM</t>
  </si>
  <si>
    <t>ADJ_DEL_CD</t>
  </si>
  <si>
    <t>NON_STAND_FMT_CD</t>
  </si>
  <si>
    <t>PRESC_ORIGIN</t>
  </si>
  <si>
    <t>BELOW_OOP_THRHLD</t>
  </si>
  <si>
    <t>ABOVE_OOP_THRHLD</t>
  </si>
  <si>
    <t>OTHER_TROOP_AMT</t>
  </si>
  <si>
    <t>LICS_AMT</t>
  </si>
  <si>
    <t>PLRO_AMT</t>
  </si>
  <si>
    <t>Non-covered Plan Paid Amount (NPP)</t>
  </si>
  <si>
    <t>NON_CVRD_PLAN_PAID</t>
  </si>
  <si>
    <t>GAP_DSCNT_AMT</t>
  </si>
  <si>
    <t>COVERAGE_CD</t>
  </si>
  <si>
    <t>SRVC_PROVIDER_ID</t>
  </si>
  <si>
    <t>SRVC_PROVIDER_ID_QUAL</t>
  </si>
  <si>
    <t>PRESCRIBER_ID</t>
  </si>
  <si>
    <t>PRESCRIBER_ID_QUAL</t>
  </si>
  <si>
    <t>CONTRACT_NUM</t>
  </si>
  <si>
    <t>PBP_ID</t>
  </si>
  <si>
    <t>This field contains the date on which the prescription was filled.</t>
  </si>
  <si>
    <t>FILE NAME</t>
  </si>
  <si>
    <t>Denominator (DN)</t>
  </si>
  <si>
    <t>VARIABLE DESCRIPTION*</t>
  </si>
  <si>
    <t>The Rush Alzheimer’s Disease Center (RADC)</t>
  </si>
  <si>
    <t>Dynamics of Health, Aging, and Body Composition (Health ABC)</t>
  </si>
  <si>
    <t>SURVEY NAME</t>
  </si>
  <si>
    <t>RadioButton Value</t>
  </si>
  <si>
    <t>Not Included</t>
  </si>
  <si>
    <t>NotIncluded</t>
  </si>
  <si>
    <t>Not available to Request</t>
  </si>
  <si>
    <t>CLM_PHRMCY_SRVC_TYPE_CD</t>
  </si>
  <si>
    <t>REQUESTED?</t>
  </si>
  <si>
    <t>Summary of Request</t>
  </si>
  <si>
    <t>Appendix A File Description</t>
  </si>
  <si>
    <t>Save this Excel file, and proceed to the next tab.</t>
  </si>
  <si>
    <t>Geographic</t>
  </si>
  <si>
    <t>Provider</t>
  </si>
  <si>
    <t>FILE</t>
  </si>
  <si>
    <t>DESCRIPTION</t>
  </si>
  <si>
    <t>Not Available Based on Survey’s Current CMS Data Offering</t>
  </si>
  <si>
    <t>Forthcoming: National Health and Aging Trends Study (NHATS)</t>
  </si>
  <si>
    <t>Forthcoming: National Social Life, Health, and Aging Project (NSHAP)</t>
  </si>
  <si>
    <t>Forthcoming: Baltimore Longitudinal Study of Aging (BLSA)</t>
  </si>
  <si>
    <t>Forthcoming: Long-Life Family Study Data Management and Coordinating Center (LLFS)</t>
  </si>
  <si>
    <t>Forthcoming: National Long Term Care Survey (NLTCS)</t>
  </si>
  <si>
    <t>Forthcoming: Panel Study of Income Dynamics (PSID)</t>
  </si>
  <si>
    <t>HRS</t>
  </si>
  <si>
    <t>Total</t>
  </si>
  <si>
    <t>Aggregated</t>
  </si>
  <si>
    <t>Blanked/Dropped Based on Survey’s Security Specifications for CMS Data</t>
  </si>
  <si>
    <t>WLS</t>
  </si>
  <si>
    <t>Table of Contents</t>
  </si>
  <si>
    <t>PDE_Request</t>
  </si>
  <si>
    <t>Summary</t>
  </si>
  <si>
    <t>Forthcoming: Care Ecosystem (CE)</t>
  </si>
  <si>
    <t>Forthcoming: Chicago Health and Aging Project (CHAP)</t>
  </si>
  <si>
    <t>Forthcoming: Useful Field of View Training (UFOVT) Randomized Control Trials</t>
  </si>
  <si>
    <t>Forthcoming: Aging with Pride: National Health, Aging, and Sexuality/Gender Study (NHAS)</t>
  </si>
  <si>
    <t>Forthcoming: Boston Early Adversity &amp; Mortality Study (BEAMS)</t>
  </si>
  <si>
    <t>Inpatient Rehab Facility-Patient Assessment Instrument (IRF-PAI)</t>
  </si>
  <si>
    <t>Beneficiary</t>
  </si>
  <si>
    <t>Medicare</t>
  </si>
  <si>
    <t>Clinical</t>
  </si>
  <si>
    <t>Payment</t>
  </si>
  <si>
    <t>Data Element</t>
  </si>
  <si>
    <t>Social Security Number</t>
  </si>
  <si>
    <t>Medicare or Medicaid Beneficiary Number</t>
  </si>
  <si>
    <t>Surname</t>
  </si>
  <si>
    <t>Beneficiary Identification Number (BID) [Random]</t>
  </si>
  <si>
    <t>Unencrypted</t>
  </si>
  <si>
    <t>Exact Dates of Service</t>
  </si>
  <si>
    <t>Beneficiary State Code/County Code/Zip Code</t>
  </si>
  <si>
    <t>Provider Characteristics (e.g., National Provider Identifiers (NPIs), Unique Provider Identification Numbers (UPINs))</t>
  </si>
  <si>
    <t>CMS Certification Number (CCN)</t>
  </si>
  <si>
    <t>Hospitals/Facilities</t>
  </si>
  <si>
    <t>Part C/D Health Plans</t>
  </si>
  <si>
    <t>Characteristics</t>
  </si>
  <si>
    <t>Identifier</t>
  </si>
  <si>
    <t>Prescription Attributes</t>
  </si>
  <si>
    <t>Date</t>
  </si>
  <si>
    <t>Processing</t>
  </si>
  <si>
    <t>Code</t>
  </si>
  <si>
    <t>QUANTITY_DISPENSED</t>
  </si>
  <si>
    <t>Amount</t>
  </si>
  <si>
    <t>PROD_SERVICE_ID</t>
  </si>
  <si>
    <t>Coverage</t>
  </si>
  <si>
    <t>PRICE_EXCEPT_CD</t>
  </si>
  <si>
    <t>Pharmacy</t>
  </si>
  <si>
    <t>Third Party</t>
  </si>
  <si>
    <t>CVRD_D_PLAN_PAID</t>
  </si>
  <si>
    <t>Plan/Contract</t>
  </si>
  <si>
    <t>Prescriber</t>
  </si>
  <si>
    <t>DEFINITION</t>
  </si>
  <si>
    <t>RESEARCH CATEGORY</t>
  </si>
  <si>
    <t>VARIABLE TYPE</t>
  </si>
  <si>
    <t>BGN_BNFT_PHASE</t>
  </si>
  <si>
    <t>END_BNFT_PHASE</t>
  </si>
  <si>
    <t>Begin benefit phase</t>
  </si>
  <si>
    <t>End benefit phase</t>
  </si>
  <si>
    <t>This field indicates the number of units, grams, milliliters, or other quantity dispensed in the current drug event.
If the PDE was for a compounded item, the quantity dispensed is the total of all ingredients. If the PDE was for a partial fill, the quantity dispensed is the total amount prescribed, not the portion covered by the partial fill.</t>
  </si>
  <si>
    <t>National Drug Code (NDC) 11 Format</t>
  </si>
  <si>
    <t>This field identifies the dispensed drug product using a National Drug Code (NDC).
The NDC is reported in NDC11 format. In instances where a pharmacy formulates a compound containing multiple NDC drugs, the NDC of the most expensive drug is used.</t>
  </si>
  <si>
    <t>This field indicates how the pharmacy dispensed the complete quantity of the prescription.
When the pharmacy partially fills a prescription, this field indicates a partial fill. When the full quantity is dispensed at one time, this field is blank.</t>
  </si>
  <si>
    <t>This variable is the dollar amount that the beneficiary paid for the PDE without being reimbursed by a third party.
The amount includes all copayments, coinsurance, deductible, or other patient payment amounts, and comes directly from the source PDE. This amount contributes to a beneficiary's true out-of-pocket (TrOOP) costs, but only if it is for a Part D-covered drug (i.e., spending on non-covered drugs does not count toward the TrOOP amount).</t>
  </si>
  <si>
    <t>Gross Drug Cost (sum of INGRDNT_COST_PD, DSPNSNG_FEE_PD, AMT_SALES_TAX, and VAC_ADMIN_FEE)</t>
  </si>
  <si>
    <t>This variable is the total cost of the prescription drug event and is taken directly from the original PDE. It is the sum of the following components:
 The ingredient cost (INGRDNT_CST_PD_AMT),
 The dispensing fee (DSPNSNG_FEE_PD_AMT),
 The sales tax, if any (TOT_AMT_ATTR_SLS_TAX_AMT), and
 The vaccine administration fee, if any (VCCN_ADMIN_FEE_AMT, included starting in 2010).
This is the price paid for the drug at the point of sale (i.e., the pharmacy counter), and it does not include any rebates or discounts that the drug manufacturer provides directly to the Part D plan sponsor.</t>
  </si>
  <si>
    <t>Gross Drug Cost Below Out-of-Pocket Threshold (GDCB)</t>
  </si>
  <si>
    <t>This variable is the portion of the gross drug cost for the prescription drug fill that was not covered by Part D’s catastrophic coverage.
Under Part D, a beneficiary qualifies for catastrophic coverage when his/her true out-of-pocket (TrOOP) costs reach a specific dollar threshold (for example, the threshold was $4,550 in 2010). For prescriptions that were filled when a beneficiary was below the out-of-pocket threshold (OOPT), this field will contain a positive dollar value. For prescriptions above the OOPT, this field will contain a zero dollar amount. If a prescription crosses the threshold, then the portion of the gross drug cost that is below the threshold will appear in this field.</t>
  </si>
  <si>
    <t>This variable is the portion of the gross drug cost for the prescription drug fill that was covered by Part D’s catastrophic coverage.
Under Part D, a beneficiary qualifies for catastrophic coverage when his/her true out-of-pocket (TrOOP) costs reach a specific dollar threshold (for example, the threshold was $4,550 in 2010). For prescriptions that were filled when a beneficiary was below the out-of-pocket threshold (OOPT), this field will contain a zero dollar amount. For prescriptions above the OOPT, this field will contain a positive dollar value. If a prescription crosses the threshold, then the portion of the gross drug cost that is above the threshold will appear in this field.</t>
  </si>
  <si>
    <t>This is the amount of any payment made by other third-party payers that reduces the beneficiary’s liability for the PDE and counts towards Part D’s true out-of-pocket (TrOOP) requirement. Two examples are payments by qualified state pharmacy assistance programs or charities. This variable does not include amounts covered by the Part D low-income subsidy.</t>
  </si>
  <si>
    <t>This is the amount of cost sharing for the drug that was paid by the Part D low-income subsidy (LICS). This field contains plan-reported amounts per drug event; CMS uses this information to reconcile the prospective payments it makes to Part D plans for expected low-income cost sharing with the actual amounts incurred by the plans.</t>
  </si>
  <si>
    <t>Patient Liability Reduction due to Other Payer Amount(PLRO)</t>
  </si>
  <si>
    <t>This is the amount of any payment by other third-party payers that reduces the beneficiary’s liability for the PDE but does not count towards Part D’s true out-of-pocket (TrOOP) requirement. Examples include payments by group health plans, worker's compensation, and governmental programs like the Veterans Administration and TRICARE.</t>
  </si>
  <si>
    <t>This is the net amount paid by the Part D plan (i.e., for enhanced alternative benefits) including cost sharing fill-in and/or non-Part D drugs. This dollar amount is excluded from risk corridor calculations.
Medicare requires Part D plans to cover certain drugs, but some plans may offer benefits that are more generous than the standard benefit by covering drugs that Part D does not cover.</t>
  </si>
  <si>
    <t>This variable indicates the amount of the discount provided by the drug’s manufacturer under the Medicare Coverage Gap Discount Program, as calculated by CMS based on data reported in the PDE.</t>
  </si>
  <si>
    <t>This field identifies the pharmacy or physicians office where the prescription was filled. In standard format PDEs populate the field with the NCPDP number or NPI. In non-standard format PDEs use the UPIN, State License Number, or Federal Tax Identification Number, NCPDP Number of NPI.</t>
  </si>
  <si>
    <t>This variable contains the prescriber identification number as reported by the Part D sponsor on the PDE record submitted to CMS.
Historically, this could be an NPI, DEA identification number, or UPIN. Since NPIs are now required by CMS (after April 2013), they appear most frequently (2009 forward). The type of prescriber identifier used is documented in the PRSCRBR_ID_QLFYR_CD variable.
Starting with 2014 data, the PRSCRBR_ID can be used to link to the NPI variable in the Prescriber Characteristics File.</t>
  </si>
  <si>
    <t>Pharmacy Service Type Code</t>
  </si>
  <si>
    <t>Submitting Contract Number</t>
  </si>
  <si>
    <t>Unique Identification of a contract (submitting contract).</t>
  </si>
  <si>
    <t>Submitting PBP ID</t>
  </si>
  <si>
    <t>Unique Identification for a benefit package offered within a MCO or PDP contract (submitting PBP).</t>
  </si>
  <si>
    <t>Select X to Request All Variables in Category</t>
  </si>
  <si>
    <t>Review the files that you have requested in this Form.</t>
  </si>
  <si>
    <t>1a</t>
  </si>
  <si>
    <t>1b</t>
  </si>
  <si>
    <t>File-Level Request</t>
  </si>
  <si>
    <t>This variable indicates where the beneficiary lived when the prescription was filled, as reported on the PDE record.</t>
  </si>
  <si>
    <t>Plan reported value indicating whether the plan adjudicated the claim as a brand or generic drug.
Applies to covered drugs only.</t>
  </si>
  <si>
    <t>This field indicates the prescriber's instruction regarding substitution of generic equivalents or order to dispense the specific prescribed medication.
Part D plans generally require pharmacies to use generics or the least expensive version of the prescribed drug.
However, there are times when a prescriber intends for the beneficiary to receive the drug exactly as it is written on the prescription (e.g., to get the brand-name version of a drug). When there are specific instructions from the prescriber, it is indicated in this variable with a value of 1 or greater.</t>
  </si>
  <si>
    <t>This variable indicates whether the prescription was transmitted as an electronic prescription, by phone, by fax, or as a written paper copy.</t>
  </si>
  <si>
    <t>This data element is used by CMS to identify PDE records that are compiled from non-standard sources.
The National Council for Prescription Drug Program (NCPDP) is the standard format in which plans receive data from pharmacies.</t>
  </si>
  <si>
    <t>This field indicates whether or not the drug is covered by Medicare Part D.
The Part D benefit does not cover all FDA-approved drugs. However, plan sponsors can offer an “enhanced” benefit package that covers non-Part D drugs, such as over-the-counter medications.</t>
  </si>
  <si>
    <t>This field distinguishes original from adjusted or deleted PDE records so CMS can adjust claims and make accurate payment for revised PDE records.</t>
  </si>
  <si>
    <t>This variable indicates if the PDE was processed by the Part D plan using pricing rules that differ from the plan's negotiated price. Most PDEs have missing values, indicating that they were obtained from in-network pharmacies.</t>
  </si>
  <si>
    <t xml:space="preserve">A value representing a plan-definited benefit phase. </t>
  </si>
  <si>
    <t>This variable indicates whether the PDE occurred within the catastrophic benefit phase of the Medicare Part D benefit, according to the source PDE.
When the value equals C (above attachment point), then the PDE is in the catastrophic phase. When the value equals A (attachment point), the PDE has caused the beneficiary to move into the catastrophic phase (i.e., this is the “triggering” PDE).</t>
  </si>
  <si>
    <t>START YEAR</t>
  </si>
  <si>
    <t>END YEAR</t>
  </si>
  <si>
    <t>The type of data used to identify the service provider of the claim.</t>
  </si>
  <si>
    <t>The type of pharmacy used. This variable indicates the type of pharmacy that dispensed the prescription, as recorded on the PDE.
CMS requires Part D plans to maintain pharmacy networks that are sufficient to ensure access to Medicare beneficiaries – including retail, home infusion, and long-term care pharmacies. Plan sponsors have contracts with pharmacies to provide “in-network” services.</t>
  </si>
  <si>
    <t>This variable contains information regarding the type of prescriber identification number that was submitted on the original PDE data, as reported by the Part D sponsor on the PDE record submitted to CMS.
Historically, this identifier could be an NPI, DEA identification number, UPIN, or state license number. After April 2013, it is an NPI.</t>
  </si>
  <si>
    <t>Select Start Year</t>
  </si>
  <si>
    <t>Select End Year</t>
  </si>
  <si>
    <t>Select a Survey</t>
  </si>
  <si>
    <t>Date of Birth</t>
  </si>
  <si>
    <t>Gender/Race</t>
  </si>
  <si>
    <t>Survey Name</t>
  </si>
  <si>
    <t>Survey</t>
  </si>
  <si>
    <t>LookupName</t>
  </si>
  <si>
    <t>NHAS</t>
  </si>
  <si>
    <t>BLSA</t>
  </si>
  <si>
    <t>BEAMS</t>
  </si>
  <si>
    <t>CE</t>
  </si>
  <si>
    <t>CHAP</t>
  </si>
  <si>
    <t>HABC</t>
  </si>
  <si>
    <t>MIDUS</t>
  </si>
  <si>
    <t>NHATS</t>
  </si>
  <si>
    <t>NSHAP</t>
  </si>
  <si>
    <t>PSID</t>
  </si>
  <si>
    <t>PT</t>
  </si>
  <si>
    <t>RADC</t>
  </si>
  <si>
    <t>UAS</t>
  </si>
  <si>
    <t>UFOVT</t>
  </si>
  <si>
    <t>Forthcoming</t>
  </si>
  <si>
    <t xml:space="preserve">This field indicates the number of days' supply of medication dispensed by the pharmacy and consists of the amount the pharmacy enters for the prescription. </t>
  </si>
  <si>
    <t xml:space="preserve">This field indicates whether or not the dispensed drug was compounded or mixed.
Some prescribed drugs must be compounded to obtain the prescribed ingredients in the dosage and form that is necessary. </t>
  </si>
  <si>
    <t>For beneficiaries living in long-term care (LTC) facilities, this variable indicates how many days’ supply of the medication was dispensed by the long-term care pharmacy and provides some details about the dispensing event.
This variable is only populated when beneficiary lives in an LTC facility.</t>
  </si>
  <si>
    <t>This is the net amount that the Part D plan paid for a PDE that was covered by the Medicare Part D benefit.
This field excludes supplemental drugs, supplemental cost-sharing, over-the-counter drugs, and any non-Part D drugs that are funded by Part C rebates. Finally, this field does not include any amounts paid by the Part D low-income subsidy.</t>
  </si>
  <si>
    <t>Back to top</t>
  </si>
  <si>
    <t xml:space="preserve">Long Term Care Minimum Data Set (MDS)   </t>
  </si>
  <si>
    <t>The MDS file contains physical and cognitive assessments of beneficiaries who receive long-term care services and long-term care providers' evaluations of long-term care beneficiaries' health. The information includes beneficiary demographics, cognitive health status, diagnosis codes, diagnosis codes, mood status, physical evaluations, procedure codes, processing codes, provider characteristics, service dates, and social behavior. 
There are two types of MDS data: nursing home and swing beds. Both types of data have two versions: Version 2.0, which covers 1999 to 2010; and Version 3.0, which covers 2010 to now. NOTE: We do not currently offer MDS swing-bed data; however, we do offer MDS nursing home data.</t>
  </si>
  <si>
    <t xml:space="preserve">Medicaid Analytic eXtract (MAX) </t>
  </si>
  <si>
    <t>Medicare Enrollment Data</t>
  </si>
  <si>
    <t xml:space="preserve">Medicare Part A &amp; B Claims Data </t>
  </si>
  <si>
    <t>Medicare Part D Medication Therapy Management (MTM)</t>
  </si>
  <si>
    <t xml:space="preserve">The MTM file contains medication therapy information—including drug recommendations, drug reviews, enrollment dates, plan enrollment, and provider characteristics—for beneficiaries enrolled in the Part D MTM program. </t>
  </si>
  <si>
    <t>Medicare Part D Prescription Drug Event (PDE)</t>
  </si>
  <si>
    <t>The PDE file contains prescription drug information, pharmacy identifiers, and service costs for beneficiaries enrolled in the Part D program, through either a Prescription Drug Plan (PDP) or a Medicare Advantage Prescription Drug Plan (MA-PD).</t>
  </si>
  <si>
    <t>Outcome and Assessment Information Set (OASIS)</t>
  </si>
  <si>
    <t>The OASIS file contains physical and cognitive assessments of beneficiaries who receive home health care from a Medicare-certified home health agency. The information includes cognitive health status, diagnosis codes, living environment, mood status, physical evaluations, processing codes, service dates, and social behavior. 
There are two versions of OASIS data: Version B1, which covers 1999 to 2010; and Version C, which covers 2010 to now.</t>
  </si>
  <si>
    <t>Medicaid Analytic eXtract (MAX) Inpatient (IP) Claims</t>
  </si>
  <si>
    <t>Medicaid Analytic eXtract (MAX) Long Term Care (LT) Claims</t>
  </si>
  <si>
    <t>Medicaid Analytic eXtract (MAX) Other Services (OT) Claims</t>
  </si>
  <si>
    <t>Medicaid Analytic eXtract (MAX) Personal Summary (PS) Enrollment Data</t>
  </si>
  <si>
    <t>The MAX PS file contains demographic, eligibility, and enrollment information for Medicaid beneficiaries.</t>
  </si>
  <si>
    <t>Medicaid Analytic eXtract (MAX) Prescription Drug (RX) Data</t>
  </si>
  <si>
    <t>The MAX RX file contains information on Medicaid beneficiaries’ prescribed drugs and drug fills, when a Medicaid managed care organization pays for those drugs.</t>
  </si>
  <si>
    <t>The DN file contains beneficiary demographic (e.g., age, gender, and race), eligibility (e.g., how the beneficiary qualified for Medicare benefits), and enrollment (e.g., Medicare programs that the beneficiary is enrolled in) information for Medicare Parts A and B data.</t>
  </si>
  <si>
    <t>The MBSF-Base Segment file contains beneficiary demographic, eligibility, and enrollment information for Medicare Parts A, B, C (starting in 1999), and D (starting in 2006).</t>
  </si>
  <si>
    <t>Medicare Carrier (PB)  Fee-for-Service (FFS) Claims</t>
  </si>
  <si>
    <t>Medicare Durable Medical Equipment (DME) Fee-for-Service (FFS) Claims</t>
  </si>
  <si>
    <t>Medicare Home Health (HH) Fee-for-Service (FFS) Claims</t>
  </si>
  <si>
    <t>Medicare Hospice (HS) Fee-for-Service (FFS) Claims</t>
  </si>
  <si>
    <t>Medicare Inpatient (IP) Fee-for-Service (FFS) Claims</t>
  </si>
  <si>
    <t>The Medicare IP file contains health services information (e.g., diagnose codes, drug codes, and procedure codes) from overnight inpatient hospital stays for Medicare beneficiaries.</t>
  </si>
  <si>
    <t>Medicare Outpatient (OP) Fee-for-Service (FFS) Claims</t>
  </si>
  <si>
    <t>Medicare Skilled Nursing Facility (SNF) Fee-for-Service (FFS) Claims</t>
  </si>
  <si>
    <t>Medicare Carrier Encounter Claims</t>
  </si>
  <si>
    <t>Medicare Durable Medical Equipment (DME) Encounter</t>
  </si>
  <si>
    <t>Medicare Home Health Agency (HH) Encounter Claims</t>
  </si>
  <si>
    <t>Medicare Inpatient (IP) Encounter Claims</t>
  </si>
  <si>
    <t>Medicare Outpatient (OP) Encounter Claims</t>
  </si>
  <si>
    <t>Medicare Skilled Nursing Facility (SNF) Encounter Claims</t>
  </si>
  <si>
    <t>Part D Drug Data</t>
  </si>
  <si>
    <t>TMSIS Analytic Files (TAF) Demographic and Eligibility (DE) Enrollment Data</t>
  </si>
  <si>
    <t>TMSIS Analytic Files (TAF) Inpatient (IP) Claims</t>
  </si>
  <si>
    <t>TMSIS Analytic Files (TAF) Long Term Care (LT) Claims</t>
  </si>
  <si>
    <t>TMSIS Analytic Files (TAF) Other Services (OT) Claims</t>
  </si>
  <si>
    <t>TMSIS Analytic Files (TAF) Pharmacy (RX) Data</t>
  </si>
  <si>
    <r>
      <t>Save this Excel file, and proceed to the next tab.</t>
    </r>
    <r>
      <rPr>
        <sz val="11"/>
        <color rgb="FF7E542A"/>
        <rFont val="Segoe UI Semibold"/>
        <family val="2"/>
      </rPr>
      <t/>
    </r>
  </si>
  <si>
    <t>NIA DUA INFORMATION</t>
  </si>
  <si>
    <t>The MAX IP file contains health services information (e.g., provider characteristics, service costs, and service dates) from overnight inpatient hospital stays to Medicaid beneficiaries.</t>
  </si>
  <si>
    <t>The MAX LT file contains health services information (e.g., facility type, dates of service, and discharge status) from institutional long term care facilities (e.g., nursing facility services) for Medicaid beneficiaries.</t>
  </si>
  <si>
    <t>The MAX OT file contains health services information (e.g., dates of service, diagnoses codes, and procedure codes) from a host of other Medicaid services (e.g., physician services, clinic services, and home health) for Medicaid beneficiaries.</t>
  </si>
  <si>
    <t>The Medicare HS file contains health services information (e.g., procedure codes, provider characteristics, and service costs) from healthcare providers or facilities that offer care to terminally ill Medicare beneficiaries.</t>
  </si>
  <si>
    <t>The Medicare OP file contains health services information (e.g., beneficiary demographics, procedure codes, and processing codes) from institutional outpatient providers (e.g., outpatient rehabilitation facilities and renal dialysis facilities) for Medicare beneficiaries.</t>
  </si>
  <si>
    <t>The Medicare SNF file contains health services information (e.g., diagnoses codes, facility type, and processing codes) from facilities that provide skilled nursing and therapy care to Medicare beneficiaries.</t>
  </si>
  <si>
    <t>The MedPAR file contains health service information (e.g., eligibility status, processing codes, and service costs) from two Part A settings–Inpatient (IP) and Skilled Nursing Facility (SNF)– organized into stays, where 'stay' refers to the time between a beneficiary's admission to an IP or SNF facility and the beneficiary's discharge from the facility.</t>
  </si>
  <si>
    <t>The Medicare DME file contains health services information on items (e.g., prosthetic device, ventilator, and wheelchair) that are medically necessary and doctor-prescribed to Medicare beneficiaries. DME suppliers submit these claims.</t>
  </si>
  <si>
    <t>The Medicare PB file contains health services information (e.g., dates of service, diagnoses codes, and procedure codes) from professional non-institutional providers (e.g., individual/group practitioners, non-hospital labs, or physicians) for Medicare beneficiaries.</t>
  </si>
  <si>
    <t>Master Beneficiary Summary File (MBSF): Base – Segment (A/B/C/D)</t>
  </si>
  <si>
    <t>Master Beneficiary Summary File (MBSF): Chronic Conditions</t>
  </si>
  <si>
    <t>Master Beneficiary Summary File (MBSF): Cost &amp; Utilization</t>
  </si>
  <si>
    <t xml:space="preserve">Master Beneficiary Summary File (MBSF): Other Chronic or Potentially Disabling Conditions </t>
  </si>
  <si>
    <t>Select X to Request All Files in Category</t>
  </si>
  <si>
    <t>Medicaid Enrollment Data</t>
  </si>
  <si>
    <t xml:space="preserve">Medicaid Claims Data </t>
  </si>
  <si>
    <t xml:space="preserve">Medicare Enrollment Data
</t>
  </si>
  <si>
    <t xml:space="preserve">Additional Medicare Summary Files
</t>
  </si>
  <si>
    <t xml:space="preserve">Medicaid Enrollment Data
</t>
  </si>
  <si>
    <t xml:space="preserve">Medicare Part A &amp; B Claims Data 
</t>
  </si>
  <si>
    <t xml:space="preserve">Part C Claims Data 
</t>
  </si>
  <si>
    <t>Medicaid Claims Data</t>
  </si>
  <si>
    <t>Select an Encryption Level</t>
  </si>
  <si>
    <t>The Medicare HH file contains health services information (e.g., diagnoses codes, discharge status, and service costs) from agencies that provide home healthcare services (e.g., skilled care, home health aide, and physical therapy) to Medicare beneficiaries.</t>
  </si>
  <si>
    <t>The DN file contains beneficiary demographic (e.g., age, gender, and race), eligibility (e.g., how the beneficiary qualified for Medicare benefits), and enrollment (e.g., Medicare programs that the beneficiary is enrolled in) information for Medicare Parts A and B data.
The MBSF-Base Segment file contains beneficiary demographic, eligibility, and enrollment information for Medicare Parts A, B, C (starting in 1999), and D (starting in 2006).
The MBSF Chronic Conditions file contains information on the presence of one of twenty-seven chronic conditions (e.g., asthma, depression) among Medicare beneficiaries. For more information, refer to the Chronic Conditions Data Warehouse (CCW)’s full list of chronic conditions categories.
The MBSF Cost and Utilization file contains information on the utilization of, and annual payments for, services rendered to Medicare beneficiaries.
The MBSF Other Chronic or Potentially Disabling Conditions contains information on the presence of one of forty other chronic or potentially disabling conditions (e.g., epilepsy, schizophrenia) among Medicare beneficiaries. For more information, refer to the CCW’s full list of other chronic or potentially disabling conditions.</t>
  </si>
  <si>
    <t>IRF-PAI</t>
  </si>
  <si>
    <t>SurveyNameLookUp</t>
  </si>
  <si>
    <t>Encryption Availability Lookup</t>
  </si>
  <si>
    <t>Value Display on Availability Column</t>
  </si>
  <si>
    <t>Value on Encryption Workbook</t>
  </si>
  <si>
    <t>Name = Encryption_Lookup</t>
  </si>
  <si>
    <t>1. REQUEST MEDICARE ENROLLMENT DATA?</t>
  </si>
  <si>
    <t>2. START YEAR</t>
  </si>
  <si>
    <t>3. END YEAR</t>
  </si>
  <si>
    <t>4. ENCRYPTION LEVEL</t>
  </si>
  <si>
    <t>1. REQUEST MEDICAID ENROLLMENT DATA?</t>
  </si>
  <si>
    <t>1. REQUEST MEDICARE PART A &amp; B CLAIMS DATA?</t>
  </si>
  <si>
    <t>1. REQUEST PART D MTM DATA?</t>
  </si>
  <si>
    <t>1. REQUEST MEDICAID CLAIMS DATA?</t>
  </si>
  <si>
    <t xml:space="preserve">1. REQUEST BENEFICIARY INFORMATION? </t>
  </si>
  <si>
    <t xml:space="preserve">1. REQUEST CLINICAL  INFORMATION? </t>
  </si>
  <si>
    <t xml:space="preserve">1. REQUEST PAYMENT INFORMATION? </t>
  </si>
  <si>
    <t xml:space="preserve">1. REQUEST PROVIDER INFORMATION? </t>
  </si>
  <si>
    <t>About this Request Form</t>
  </si>
  <si>
    <t>Each file category also has two types of form fields:</t>
  </si>
  <si>
    <t>Return to Table of Contents</t>
  </si>
  <si>
    <t>Each variable category also has two types of form fields:</t>
  </si>
  <si>
    <t>(If needed) Modify either file-level or variable-level specifications to fine-tune your data request.</t>
  </si>
  <si>
    <t>For example, if you do not need a file or variable, delete the auto-populated responses for that file or variables.</t>
  </si>
  <si>
    <t>Likewise, if you need to provide a specific justification for a file or variable, edit the auto-populated response for that file or variable.</t>
  </si>
  <si>
    <t>DE</t>
  </si>
  <si>
    <t>ACRONYM</t>
  </si>
  <si>
    <t>FULL TERM</t>
  </si>
  <si>
    <t>CC</t>
  </si>
  <si>
    <t>Chronic Conditions</t>
  </si>
  <si>
    <t>CHIP</t>
  </si>
  <si>
    <t>Children’s Health Insurance Program</t>
  </si>
  <si>
    <t>CMS</t>
  </si>
  <si>
    <t>Centers for Medicare &amp; Medicaid Services</t>
  </si>
  <si>
    <t>CY</t>
  </si>
  <si>
    <t>Calendar Year</t>
  </si>
  <si>
    <t>Demographics and Enrollment</t>
  </si>
  <si>
    <t>DM</t>
  </si>
  <si>
    <t>Durable Medical Equipment</t>
  </si>
  <si>
    <t>DN</t>
  </si>
  <si>
    <t>Denominator</t>
  </si>
  <si>
    <t>HH</t>
  </si>
  <si>
    <t>Home Health</t>
  </si>
  <si>
    <t>HS</t>
  </si>
  <si>
    <t>Hospice</t>
  </si>
  <si>
    <t>IP</t>
  </si>
  <si>
    <t>Inpatient</t>
  </si>
  <si>
    <t>LT</t>
  </si>
  <si>
    <t>Long-Term Care</t>
  </si>
  <si>
    <t>MAX</t>
  </si>
  <si>
    <t>Medicaid Analytic eXtract</t>
  </si>
  <si>
    <t>MBSF</t>
  </si>
  <si>
    <t>Master Beneficiary Summary File</t>
  </si>
  <si>
    <t>Long-Term Care Minimum Data Set</t>
  </si>
  <si>
    <t>MSIS</t>
  </si>
  <si>
    <t>Medicaid Statistical Information System</t>
  </si>
  <si>
    <t>MTM</t>
  </si>
  <si>
    <t>Medication Therapy Management</t>
  </si>
  <si>
    <t>OASIS</t>
  </si>
  <si>
    <t>Home Health Outcome and Assessment Information Set</t>
  </si>
  <si>
    <t>OP</t>
  </si>
  <si>
    <t>Outpatient</t>
  </si>
  <si>
    <t>OT</t>
  </si>
  <si>
    <t>Other Services</t>
  </si>
  <si>
    <t>PB</t>
  </si>
  <si>
    <t>Carrier</t>
  </si>
  <si>
    <t>PDE</t>
  </si>
  <si>
    <t>Prescription Drug Event</t>
  </si>
  <si>
    <t>PS</t>
  </si>
  <si>
    <t>Personal Summary</t>
  </si>
  <si>
    <t>RX</t>
  </si>
  <si>
    <t>Prescription Drug</t>
  </si>
  <si>
    <t>RIF</t>
  </si>
  <si>
    <t>Research Identifiable Files</t>
  </si>
  <si>
    <t>SN</t>
  </si>
  <si>
    <t>Skilled Nursing Facility</t>
  </si>
  <si>
    <t>TAF</t>
  </si>
  <si>
    <t>T-MSIS Analytic File</t>
  </si>
  <si>
    <t>T-MSIS</t>
  </si>
  <si>
    <t>Transformed Medicaid Statistical Information System</t>
  </si>
  <si>
    <t>TERM</t>
  </si>
  <si>
    <t>MDS_Request, OASIS_Request</t>
  </si>
  <si>
    <t>Data Version</t>
  </si>
  <si>
    <t>The version of the CMS data type, when CMS has more than one version.</t>
  </si>
  <si>
    <t>File-Level_Request</t>
  </si>
  <si>
    <t>File Description</t>
  </si>
  <si>
    <t>A brief summary of file contents.</t>
  </si>
  <si>
    <t>File Name</t>
  </si>
  <si>
    <t>The name of the CMS data file.</t>
  </si>
  <si>
    <t>Research Category</t>
  </si>
  <si>
    <t>IRFPAI_Request, MDS_Request, PDE_Request, OASIS_Request</t>
  </si>
  <si>
    <t>Variable Description</t>
  </si>
  <si>
    <t>The definition of the variable.</t>
  </si>
  <si>
    <t>Variable Label</t>
  </si>
  <si>
    <t>The human-readable version of the variable name.</t>
  </si>
  <si>
    <t>Variable Name/Alias</t>
  </si>
  <si>
    <t>The variable name.</t>
  </si>
  <si>
    <t>Variable Type</t>
  </si>
  <si>
    <t>File-Level_Request, IRFPAI_Request, MDS_Request, PDE_Request, OASIS_Request</t>
  </si>
  <si>
    <t>Year(s) Available</t>
  </si>
  <si>
    <t>The years available for a given data type.</t>
  </si>
  <si>
    <t>About Request Form</t>
  </si>
  <si>
    <t>Project Talent (PT)</t>
  </si>
  <si>
    <t xml:space="preserve">Review the auto-populated file selections and years, and delete the X selection if you do not need a specific data file within a category. </t>
  </si>
  <si>
    <t>Enter Start Year</t>
  </si>
  <si>
    <t>Enter End Year</t>
  </si>
  <si>
    <t>Start Year</t>
  </si>
  <si>
    <t>End Year</t>
  </si>
  <si>
    <t>Data Type</t>
  </si>
  <si>
    <t>Category</t>
  </si>
  <si>
    <t>Assessment</t>
  </si>
  <si>
    <t>Acronyms</t>
  </si>
  <si>
    <t>Study-Name</t>
  </si>
  <si>
    <t>Function</t>
  </si>
  <si>
    <t>Name</t>
  </si>
  <si>
    <t>Description</t>
  </si>
  <si>
    <t>Study-Name Data Type</t>
  </si>
  <si>
    <t>Column D-F</t>
  </si>
  <si>
    <t>Study_Data_Year_Lookup</t>
  </si>
  <si>
    <t>Value</t>
  </si>
  <si>
    <t>StudyName</t>
  </si>
  <si>
    <t>Display current selected study Name</t>
  </si>
  <si>
    <t>display what is the current selected study name</t>
  </si>
  <si>
    <t>Min</t>
  </si>
  <si>
    <t>Max</t>
  </si>
  <si>
    <t>DN_Max_Year</t>
  </si>
  <si>
    <t>DN_Min_Year</t>
  </si>
  <si>
    <t>Data Year Range Validation:</t>
  </si>
  <si>
    <t>For minimum and maximum data range valuation</t>
  </si>
  <si>
    <t>Formula Name</t>
  </si>
  <si>
    <t>MBSF_Base_Min_Year</t>
  </si>
  <si>
    <t>MBSF_Base_Max_Year</t>
  </si>
  <si>
    <t>MAX_PS_Min_Year</t>
  </si>
  <si>
    <t>Medicare Carrier (PB) Claims</t>
  </si>
  <si>
    <t>Medicare Durable Medical Equipment (DM) Claims</t>
  </si>
  <si>
    <t>Medicare Home Health (HH) Claims</t>
  </si>
  <si>
    <t>Medicare Hospice (HS) Claims</t>
  </si>
  <si>
    <t>Medicare Inpatient (IP) Claims</t>
  </si>
  <si>
    <t>Medicare Outpatient (OP) Claims</t>
  </si>
  <si>
    <t>Medicare Skilled Nursing Facility (SN) Claims</t>
  </si>
  <si>
    <t>AB_PB_Min_Year</t>
  </si>
  <si>
    <t>AB_HS_Min_Year</t>
  </si>
  <si>
    <t>AB_IP_Min_Year</t>
  </si>
  <si>
    <t>AB_OP_Min_Year</t>
  </si>
  <si>
    <t>AB_DM_Min_Year</t>
  </si>
  <si>
    <t>AB_HH_Min_Year</t>
  </si>
  <si>
    <t>AB_SN_Min_Year</t>
  </si>
  <si>
    <t>MedPAR_Min_Year</t>
  </si>
  <si>
    <t>MAX_IP_Min_Year</t>
  </si>
  <si>
    <t>MAX_LT_Min_Year</t>
  </si>
  <si>
    <t>MAX_OT_Min_Year</t>
  </si>
  <si>
    <t>MAX_RX_Min_Year</t>
  </si>
  <si>
    <t>IRF_PAI_Min_Year</t>
  </si>
  <si>
    <t>MDS_Min_Year</t>
  </si>
  <si>
    <t>OASIS_Min_Year</t>
  </si>
  <si>
    <t>MTM_Min_Year</t>
  </si>
  <si>
    <t>PDE_Min_Year</t>
  </si>
  <si>
    <t>MAX_PS_Max_Year</t>
  </si>
  <si>
    <t>AB_PB_Max_Year</t>
  </si>
  <si>
    <t>AB_DM_Max_Year</t>
  </si>
  <si>
    <t>AB_HH_Max_Year</t>
  </si>
  <si>
    <t>AB_HS_Max_Year</t>
  </si>
  <si>
    <t>AB_IP_Max_Year</t>
  </si>
  <si>
    <t>AB_OP_Max_Year</t>
  </si>
  <si>
    <t>AB_SN_Max_Year</t>
  </si>
  <si>
    <t>MedPAR_Max_Year</t>
  </si>
  <si>
    <t>MTM_Max_Year</t>
  </si>
  <si>
    <t>MAX_IP_Max_Year</t>
  </si>
  <si>
    <t>MAX_LT_Max_Year</t>
  </si>
  <si>
    <t>MAX_OT_Max_Year</t>
  </si>
  <si>
    <t>MAX_RX_Max_Year</t>
  </si>
  <si>
    <t>PDE_Max_Year</t>
  </si>
  <si>
    <t>IRF_PAI_Max_Year</t>
  </si>
  <si>
    <t>MDS_Max_Year</t>
  </si>
  <si>
    <t>OASIS_Max_Year</t>
  </si>
  <si>
    <t>Medicare_Enrollment_Data_Min_Year</t>
  </si>
  <si>
    <t>Medicare_Enrollment_Data_Max_Year</t>
  </si>
  <si>
    <t>Update the following table only when study partner approves new year of data or new data type</t>
  </si>
  <si>
    <t>Medicaid_Enrollment_Data_Min_Year</t>
  </si>
  <si>
    <t>Medicaid_Claims_Data_Min_Year</t>
  </si>
  <si>
    <t>Medicaid_Claims_Data_Max_Year</t>
  </si>
  <si>
    <t>Medicaid_Enrollment_Data_Max_Year</t>
  </si>
  <si>
    <t>Medicare_Claims_Data_Min_Year</t>
  </si>
  <si>
    <t>Medicare_Claims_Data_Max_Year</t>
  </si>
  <si>
    <t>MedRIC</t>
  </si>
  <si>
    <t>MedRIC-TEST</t>
  </si>
  <si>
    <t>Select a Response</t>
  </si>
  <si>
    <t>Study</t>
  </si>
  <si>
    <t>Study-VarName</t>
  </si>
  <si>
    <t>Yes</t>
  </si>
  <si>
    <t xml:space="preserve">Review the auto-populated file selections, and delete the X selection if you do not need a specific variable within a category. </t>
  </si>
  <si>
    <t>This worksheet contains lookup information for the App B Encryption Levels</t>
  </si>
  <si>
    <t>Get a description of each file or set of files referenced in this Form.</t>
  </si>
  <si>
    <t>Review full terms for acronyms referenced in this Form.</t>
  </si>
  <si>
    <t>Get definitions for terms used in this Form.</t>
  </si>
  <si>
    <t>Form Instructions</t>
  </si>
  <si>
    <t>Contract/Plan</t>
  </si>
  <si>
    <t>DATA FILE(S)/VARIABLE CATEGORY(IES) AVAILABLE</t>
  </si>
  <si>
    <t>YEAR(S) REQUESTED</t>
  </si>
  <si>
    <t>TAB(S)</t>
  </si>
  <si>
    <t>Within each category, the tab specifies the File Name, Description, and Years Available.</t>
  </si>
  <si>
    <t>The tab will automatically populate your selections for all files in a given category.</t>
  </si>
  <si>
    <t>The tab will automatically populate the data versions for all files in a given category, provided that you have completed Steps 1, 2, and 3 in order.</t>
  </si>
  <si>
    <t>The tab will automatically populate your justification in all data files for a given category.</t>
  </si>
  <si>
    <t>The tab will automatically populate your selection for all variables in a selected category.</t>
  </si>
  <si>
    <t>The tab will automatically populate your justification in all variables for a selected category, provided that you have completed Steps 1, 2, and 3 in order.</t>
  </si>
  <si>
    <t>In terms of structure and layout, the File-Level_Request tab groups file types into the following seven categories of files (specified in tab order):</t>
  </si>
  <si>
    <t>In terms of structure and layout, the PDE_Request tab groups PDE variables into the following four categories (presented in alphabetic order here and within the tab):</t>
  </si>
  <si>
    <t>The Summary tab specifies the file types and, for variable-level requests, variable categories that you have requested based on your selections in the File-Level_Request, IRFPAI_Request, MDS_Request, PDE_Request, and/or OASIS_Request tabs.</t>
  </si>
  <si>
    <t>Use this tab to verify your data selections and identify any adjustments you need to make.</t>
  </si>
  <si>
    <t>The Appendix A: File Description tab contains descriptions of each major CMS data type.</t>
  </si>
  <si>
    <t>Use this tab to understand, at a high-level, the contents of each major CMS data type.</t>
  </si>
  <si>
    <t>Use this tab to learn about the encryption applied to the CMS data you've selected.</t>
  </si>
  <si>
    <t>Contains guidance for completing the request tabs.</t>
  </si>
  <si>
    <t>About the File-Level Request Tab</t>
  </si>
  <si>
    <t>About the PDE_Request Tab</t>
  </si>
  <si>
    <t>About the Summary Tab</t>
  </si>
  <si>
    <t>About the App_A_File_Desc Tab</t>
  </si>
  <si>
    <t>About the App_B_Encryption_Levels Tab</t>
  </si>
  <si>
    <t>File-Level Request Sub-Form</t>
  </si>
  <si>
    <t>To complete this sub-form:</t>
  </si>
  <si>
    <t>New Use Request Sub-Form Section</t>
  </si>
  <si>
    <t>Update Request Sub-Form Section</t>
  </si>
  <si>
    <t>Complete the "New Use Request Sub-Form Section" below; or</t>
  </si>
  <si>
    <t>Sub-Form</t>
  </si>
  <si>
    <t>Introduction</t>
  </si>
  <si>
    <t>Form</t>
  </si>
  <si>
    <t>This entire file, including all introductory, sub-form, and appendix tabs.</t>
  </si>
  <si>
    <t>ALL</t>
  </si>
  <si>
    <t>Tab</t>
  </si>
  <si>
    <t>An Excel worksheet within this Excel file.</t>
  </si>
  <si>
    <t>A tab in this Excel file with a set of related form fields.</t>
  </si>
  <si>
    <t>SAS</t>
  </si>
  <si>
    <t>STATA</t>
  </si>
  <si>
    <t>R</t>
  </si>
  <si>
    <t>Revision Log</t>
  </si>
  <si>
    <t>DATE</t>
  </si>
  <si>
    <t>WORKSHEET TAB(S)</t>
  </si>
  <si>
    <t>REVISION SUMMARY</t>
  </si>
  <si>
    <t>Revision_Log</t>
  </si>
  <si>
    <t>About_Request_Form</t>
  </si>
  <si>
    <t>Added Analytic Software Selection.</t>
  </si>
  <si>
    <t>Specifies revisions to this Form over time.</t>
  </si>
  <si>
    <t>CUSTODIAN INFORMATION FROM NIA DUA [Person who signed DUA Section No.11]</t>
  </si>
  <si>
    <t>RESEARCH PROJECTS ONLY</t>
  </si>
  <si>
    <t>The tab contains these two types of form fields to help you standardize your justifications for related and/or overlapping data files while still enabling you to modify the specific data files and data file years needed for your research project.</t>
  </si>
  <si>
    <t>The tab contains these two types of form fields to help you standardize your justifications for related and/or overlapping variables while still enabling you to modify the specific data variables needed for your research project.</t>
  </si>
  <si>
    <t xml:space="preserve">The Appendix B: Encryption levels tab contains research project-specific encryption information. </t>
  </si>
  <si>
    <t>Research Project Information Sub-Form</t>
  </si>
  <si>
    <t>RESEARCH PROJECT INFORMATION</t>
  </si>
  <si>
    <t>RESEARCH PROJECT TITLE</t>
  </si>
  <si>
    <t>About the CMS File-Level_Request Tab</t>
  </si>
  <si>
    <t xml:space="preserve">The CMS File-Level Request tab contains a form for requesting all Centers for Medicare &amp; Medicaid Services (CMS) data files that do NOT require justifications at the variable category level. </t>
  </si>
  <si>
    <t>In the START YEAR (Cell C18), enter the start year you need for your research project.</t>
  </si>
  <si>
    <t>In the END YEAR Cell (Cell C19), enter the end year you need for your research project.</t>
  </si>
  <si>
    <t>The IRF-PAI file contains physical and cognitive assessments of NIA study participants conducted at an inpatient rehabilitation facility, which is a hospital or acute care unit that provides rehabilitation programs. The information includes admission dates, beneficiary demographics, cognitive health status, diagnosis codes, physical evaluations, plan enrollment, processing codes, and provider characteristics.</t>
  </si>
  <si>
    <t>Research_Project_Info</t>
  </si>
  <si>
    <t>About the Research_Project_Info Tab</t>
  </si>
  <si>
    <t>Research_Project_Info, File-Level Request, IRFPAI_Request, MDS_Request, PDE_Request, OASIS_Request</t>
  </si>
  <si>
    <t>In the Research Project Info tab, select a NIA Study Institute partner to access data year availability information.</t>
  </si>
  <si>
    <t>In this Research Project Info tab, select a NIA Study Institute partner to access availability information.</t>
  </si>
  <si>
    <t>Form Pre-Requisites</t>
  </si>
  <si>
    <t>Target Users</t>
  </si>
  <si>
    <t>App_C_ResDAC_Forms_Comparison</t>
  </si>
  <si>
    <t>RESEARCH PROJECT INFO TAB COMPLETION STATUS</t>
  </si>
  <si>
    <t>About the App_B_Encryption Levels Tab</t>
  </si>
  <si>
    <t>Research Project Info</t>
  </si>
  <si>
    <t>PDE Request</t>
  </si>
  <si>
    <t>App A File Description</t>
  </si>
  <si>
    <t>App B Encryption Levels</t>
  </si>
  <si>
    <t>Understanding America Study (UAS)</t>
  </si>
  <si>
    <t>Midlife in the United States (MIDUS)</t>
  </si>
  <si>
    <t>Health, Aging, and Body Composition (Health ABC)</t>
  </si>
  <si>
    <t>Predictors of Severity of Alzheimer's Disease (PSAD)</t>
  </si>
  <si>
    <t>Rush Alzheimer's Disease Center (RADC)</t>
  </si>
  <si>
    <t>The MBSF Chronic Conditions file contains information on the presence of one of twenty-seven chronic conditions (e.g., asthma, depression) among Medicare beneficiaries. For more information, refer to the Chronic Conditions Data Warehouse (CCW)’s full list of chronic conditions categories.</t>
  </si>
  <si>
    <t>The MBSF Cost and Utilization file contains information on the utilization of, and annual payments for, services rendered to Medicare beneficiaries.</t>
  </si>
  <si>
    <t>The MBSF Other Chronic or Potentially Disabling Conditions contains information on the presence of one of forty other chronic or potentially disabling conditions (e.g., epilepsy and  schizophrenia) among Medicare beneficiaries. For more information, refer to the CCW’s full list of other chronic or potentially disabling conditions.</t>
  </si>
  <si>
    <t>The Medicaid and CHIP TAF (T-MSIS Analytic File) Demographic and Eligibility (DE) file contains one record for every individual eligible for and enrolled in Medicaid or CHIP for at least one day during the file calendar year.</t>
  </si>
  <si>
    <t>The Carrier Encounter file contains health services information (e.g., dates of service, diagnoses codes, and procedure codes) from professional providers (e.g. physicians and nurse practitioners) relative to MA plan paid records for Medicare beneficiaries.</t>
  </si>
  <si>
    <t xml:space="preserve">The DME Encounter file contains health services information on medical supplies (e.g., prosthetic device, ventilator, and wheelchair) relative to MA plan paid records to Medicare beneficiaries. </t>
  </si>
  <si>
    <t>The HH Encounter file contains health services information (e.g., diagnoses codes, discharge status, and service costs) from home health agency services relative to MA plan paid records for Medicare beneficiaries.</t>
  </si>
  <si>
    <t>The IP Encounter file contains health services information (e.g., diagnose codes, drug codes, and procedure codes) from inpatient hospital stays relative to Medicare Advantage Plans (MA) paid records for Medicare beneficiaries.</t>
  </si>
  <si>
    <t>The OP Encounter file contains health services information (e.g., beneficiary demographics, procedure codes, and processing codes) from outpatient providers (e.g., rural health clinics and community mental health centers) relative to MA plan paid records for Medicare beneficiaries.</t>
  </si>
  <si>
    <t xml:space="preserve">The SNF Encounter file contains health services information (e.g., diagnoses codes, facility type, and processing codes) from skilled nursing facility stays relative to MA plan paid records for Medicare beneficiaries. </t>
  </si>
  <si>
    <t>The TAF IP file contains health services information (e.g., provider characteristics, service costs, and service dates) from overnight inpatient hospital stays for Medicaid beneficiaries.</t>
  </si>
  <si>
    <t>The TAF LT file contains health services information (e.g., facility type, dates of service, and discharge status) from institutional long term care facilities (e.g., nursing facility services) for Medicaid beneficiaries.</t>
  </si>
  <si>
    <t>The TAF OT file contains health services information (e.g., physician services, clinic services, and home health services) for Medicaid beneficiaries.</t>
  </si>
  <si>
    <t xml:space="preserve">The TAF RX file contains information on Medicaid beneficiaries’ prescribed drugs and drug fills, when a Medicaid managed care organization pays for the drug. </t>
  </si>
  <si>
    <t>MBSF_CC_Min_Year</t>
  </si>
  <si>
    <t>MBSF_CC_Max_Year</t>
  </si>
  <si>
    <t>MBSF_CU_Min_Year</t>
  </si>
  <si>
    <t>MBSF_CU_Max_Year</t>
  </si>
  <si>
    <t>MBSF_Other_Min_Year</t>
  </si>
  <si>
    <t>MBSF_Other_Max_Year</t>
  </si>
  <si>
    <t>TMSIS_DE_Min_Year</t>
  </si>
  <si>
    <t>TMSIS_DE_Max_Year</t>
  </si>
  <si>
    <t>C_DME_Min_Year</t>
  </si>
  <si>
    <t>C_DME_Max_Year</t>
  </si>
  <si>
    <t>C_HH_Min_Year</t>
  </si>
  <si>
    <t>C_HH_Max_Year</t>
  </si>
  <si>
    <t>C_IP_Min_Year</t>
  </si>
  <si>
    <t>C_IP_Max_Year</t>
  </si>
  <si>
    <t>C_OP_Min_Year</t>
  </si>
  <si>
    <t>C_OP_Max_Year</t>
  </si>
  <si>
    <t>C_SNF_Min_Year</t>
  </si>
  <si>
    <t>C_SNF_Max_Year</t>
  </si>
  <si>
    <t>C_Carrier_Min_Year</t>
  </si>
  <si>
    <t>C_Carrier_Max_Year</t>
  </si>
  <si>
    <t>TMSIS_IP_Min_Year</t>
  </si>
  <si>
    <t>TMSIS_IP_Max_Year</t>
  </si>
  <si>
    <t>TMSIS_LT_Min_Year</t>
  </si>
  <si>
    <t>TMSIS_LT_Max_Year</t>
  </si>
  <si>
    <t>TMSIS_OT_Min_Year</t>
  </si>
  <si>
    <t>TMSIS_OT_Max_Year</t>
  </si>
  <si>
    <t>TMSIS_RX_Min_Year</t>
  </si>
  <si>
    <t>TMSIS_RX_Max_Year</t>
  </si>
  <si>
    <t>Additional Medicare Summary Files</t>
  </si>
  <si>
    <t>Additional_Medicare_Summary_Files_Min_Year</t>
  </si>
  <si>
    <t>Additional_Medicare_Summary_Files_Max_Year</t>
  </si>
  <si>
    <t>Part_C_Claims_Data_Min_Year</t>
  </si>
  <si>
    <t>Part_C_Claims_Data_Max_Year</t>
  </si>
  <si>
    <t>Aggregated to Year</t>
  </si>
  <si>
    <t>Aggregated to Month</t>
  </si>
  <si>
    <t>Medicare Summary Files</t>
  </si>
  <si>
    <t>Part C Claims Data</t>
  </si>
  <si>
    <t xml:space="preserve">Part C Claims Data </t>
  </si>
  <si>
    <t>Transformed Medicaid Statistical Information System (TMSIS) Analytic Files (TAF)</t>
  </si>
  <si>
    <t>Enabled MIDUS and UAS request selections.</t>
  </si>
  <si>
    <t>Added the following data types/settings:
-Master Beneficiary Summary File (MBSF): Chronic Conditions
-Master Beneficiary Summary File (MBSF): Cost &amp; Utilization
-Master Beneficiary Summary File (MBSF): Other Chronic or Potentially Disabling Conditions 
-TMSIS Analytic Files (TAF) Demographic and Eligibility (DE) Enrollment Data
-Part C Claims Data 
-TMSIS Analytic Files (TAF) Inpatient (IP) Claims
-TMSIS Analytic Files (TAF) Long Term Care (LT) Claims
-TMSIS Analytic Files (TAF) Other Services (OT) Claims
-TMSIS Analytic Files (TAF) Pharmacy (RX) Data</t>
  </si>
  <si>
    <t xml:space="preserve">IRFPAI_Request, MDS_Request, and OASIS_Request </t>
  </si>
  <si>
    <t>Edited the table to account for the new data types and variables.</t>
  </si>
  <si>
    <t>In the 1. REQUEST (VARIABLE CATEGORY NAME) INFORMATION? cells (Cells H26, H33, H51, and H73) for each variable category needed, expand the drop-down menu, and select X.</t>
  </si>
  <si>
    <t>In the 2. REQUEST JUSTIFICATION cell for each variable category selected (Cells I26, I33, I51, and I73), enter the reason why you need the PDE variable(s) to complete your research project.</t>
  </si>
  <si>
    <t>This worksheet contains study-specific PDE encryption information.</t>
  </si>
  <si>
    <t xml:space="preserve">The IRF-PAI file contains physical and cognitive assessments of beneficiaries conducted at an inpatient rehabilitation facility, which is a hospital or acute care unit that provides rehabilitation programs. The information includes admission dates, beneficiary demographics, cognitive health status, diagnosis codes, physical evaluations, plan enrollment, processing codes, and provider characteristics. </t>
  </si>
  <si>
    <t>Long-Term Care Minimum Data Set (MDS)</t>
  </si>
  <si>
    <t>Long Term Care Minimum Data Set (MDS)</t>
  </si>
  <si>
    <t xml:space="preserve">In the 1. REQUEST (FILE TYPE NAME) DATA? cells (Cells E23, E31, E40, E48, E62, E75, E82, E97, E103, and E110) for each category of file needed, expand the drop-down menu, and select X.
</t>
  </si>
  <si>
    <t>Added Assessment file types to the request form.</t>
  </si>
  <si>
    <t>Removed these tabs based on a revision to CMS's policy for requesting Assessment data--namely, that CMS no longer requires by-variable justifications for Assessment data. As a result, you can now request Assessment file types through the File-Level Request sheet (refer to row 16).</t>
  </si>
  <si>
    <t>Specify critical information on your research project, including the NIA-funded study partner’s cohort whose CMS data you're requesting.</t>
  </si>
  <si>
    <t>Request Medicare and Medicaid data files from the NIA-funded study's CMS data inventory.</t>
  </si>
  <si>
    <t>NIA-funded study PARTNER: SELECTION &amp; DATA AUTHORIZATION</t>
  </si>
  <si>
    <t>NIA-funded study PARTNER: DATA AUTHORIZATION # (OPTIONAL) Enter any data authorization number from the study partner.</t>
  </si>
  <si>
    <t>Appendix B NIA-Funded Study Partner's Data Versions Matrix</t>
  </si>
  <si>
    <t>Long-Term Care Minimum Data Set (MDS) files contain data from "a health status screening and assessment tool used for all residents of long term care nursing facilities certified to participate in Medicare or Medicaid, regardless of payer. The assessment is also required for Medicare payment of skilled nursing facility stays" (ResDAC).</t>
  </si>
  <si>
    <t>Home Health Outcome and Assessment Information Set (OASIS) files "[contain] data items developed to measure patient outcomes and for improve home health care. The OASIS assessments are required of all home health agencies certified to accept Medicare and Medicaid payments" (ResDAC).</t>
  </si>
  <si>
    <t>If you need Medicare enrollment data for your research project, complete form fields in numerical order (1, 2, 3, 4, and 5), as not doing so will break the tab's auto-populated formulas. Then, review the auto-populated content and edit if needed.</t>
  </si>
  <si>
    <t xml:space="preserve">Medicare Part C Claims Data 
</t>
  </si>
  <si>
    <t>Medicare Part D Drug Data</t>
  </si>
  <si>
    <t>Assessment Data: Inpatient Rehabilitation Facility-Patient Assessment Instrument (IRF-PAI)</t>
  </si>
  <si>
    <t>Assessment Data: Long-Term Care Minimum Data Set (MDS)</t>
  </si>
  <si>
    <t>Assessment Data: Home Health Outcome and Assessment Information Set (OASIS)</t>
  </si>
  <si>
    <t>If you need Additional Medicare enrollment data for your research project, complete form fields in numerical order (1, 2, 3, 4, and 5), as not doing so will break the tab's auto-populated formulas. Then, review the auto-populated content and edit if needed.</t>
  </si>
  <si>
    <t>If you need Medicare Parts A &amp; B claims data for your research project, complete form fields in numerical order (1, 2, 3, 4, and 5), as not doing so will break the tab's auto-populated formulas. Then, review the auto-populated content and edit if needed.</t>
  </si>
  <si>
    <t>If you need Medicare Part C (Medicare Advantage) data for your research project, complete form fields in numerical order (1, 2, 3, 4, and 5), as not doing so will break the tab's auto-populated formulas. Then, review the auto-populated content and edit if needed.</t>
  </si>
  <si>
    <t>If you need Medicare Part D MTM data for your research project, complete form fields in numerical order (1, 2, 3, 4, and 5), as not doing so will break the tab's auto-populated formulas. Then, review the auto-populated content and edit if needed.</t>
  </si>
  <si>
    <t>If you need Medicaid Claims data for your research project, complete form fields in numerical order (1, 2, 3, 4, and 5), as not doing so will break the tab's auto-populated formulas. Then, review the auto-populated content and edit if needed.</t>
  </si>
  <si>
    <t>If you need IRF-PAI data for your research project, complete form fields in numerical order (1, 2, 3, 4, and 5), as not doing so will break the tab's auto-populated formulas. Then, review the auto-populated content and edit if needed.</t>
  </si>
  <si>
    <t>If you need MDS data for your research project, complete form fields in numerical order (1, 2, 3, 4, and 5), as not doing so will break the tab's auto-populated formulas. Then, review the auto-populated content and edit if needed.</t>
  </si>
  <si>
    <t>If you need OASIS data for your research project, complete form fields in numerical order (1, 2, 3, 4, and 5), as not doing so will break the tab's auto-populated formulas. Then, review the auto-populated content and edit if needed.</t>
  </si>
  <si>
    <t>In the 2. START YEAR cells (Cells F22, F29, F37, F44, F57, F70, F77, F90, F96, and F102), enter the start years you need for your research project.</t>
  </si>
  <si>
    <t>In the 3. END YEAR cells (Cells G22, G29, G37, G44, G57, G70, G77, G90, G96, and G102), enter the end years you need for your research project.</t>
  </si>
  <si>
    <t>In the 4. ENCRYPTION LEVEL cells for each variable category selected (Cells H22, H29, H37, H44, H57, H70, H77, H90, H96, and H102), expand the drop-down menu, and select the data version that the NIA-funded study approved you for.</t>
  </si>
  <si>
    <t>In the 5. REQUEST JUSTIFICATION cells for each data category selected (CellsI22, I29, I37, I44, I57, I70, I77, I90, I96, and I102), enter the reason why you need the data to complete your research project.</t>
  </si>
  <si>
    <t>Part D Beneficiary Information</t>
  </si>
  <si>
    <t>If you need Part D beneficiary information for your research project, complete form fields in order (1 then 2), as not doing so will break the tab's auto-population formulas. Then, review the auto-populated variable selection and delete the X selection if you do not need a specific variable within a category.</t>
  </si>
  <si>
    <t>Part D Clinical Information</t>
  </si>
  <si>
    <t>Part D Payment Information</t>
  </si>
  <si>
    <t>If you need Part D payment information for your research project, complete form fields in order (1 then 2), as not doing so will break the tab's auto-population formulas. Then, review the auto-populated variable selection and delete the X selection if you do not need a specific variable within a category.</t>
  </si>
  <si>
    <t>Part D Provider Information</t>
  </si>
  <si>
    <t>If you need Part D provider information for your research project, complete form fields in order (1 then 2), as not doing so will break the tab's auto-population formulas. Then, review the auto-populated variable selection and delete the X selection if you do not need a specific variable within a category.</t>
  </si>
  <si>
    <t>If you need Part D clinical information for your research project, complete form fields in order (1 then 2), as not doing so will break the tab's auto-population formulas. Then, review the auto-populated variable selection and delete the X selection if you do not need a specific variable within a category.</t>
  </si>
  <si>
    <t>Appendix D Glossary</t>
  </si>
  <si>
    <t>Appendix C Acronyms</t>
  </si>
  <si>
    <t>App C Acronyms</t>
  </si>
  <si>
    <t>App D Glossary</t>
  </si>
  <si>
    <t>About the App_C_Acronyms Tab</t>
  </si>
  <si>
    <t>About the App_D_Glossary Tab</t>
  </si>
  <si>
    <t>About the App_C_Acronyms</t>
  </si>
  <si>
    <t>The Appendix C: Acronyms contains full terms for acronyms referenced in this Form.</t>
  </si>
  <si>
    <t>The Appendix D: Glossary tab contains definitions of key terms in this Form.</t>
  </si>
  <si>
    <t>Removed because the content is no longer relevant.</t>
  </si>
  <si>
    <t>App_C_Acronyms, and App_D_Glossary</t>
  </si>
  <si>
    <t xml:space="preserve">Renamed the tab from App_D_Acronyms to App_C_Glossary, and App_E_Glossary to App_D_Glossary. </t>
  </si>
  <si>
    <t>Study Not Listed Above (Non-Data-Sharing Partner Requeting Linked-CMS data for researcher purpose)</t>
  </si>
  <si>
    <t>Other</t>
  </si>
  <si>
    <t>HEDIS</t>
  </si>
  <si>
    <t>HEDIS Data: Healthcare Effectiveness Data and Information Set (HEDIS)</t>
  </si>
  <si>
    <t>HEDIS is a comprehensive set of standardized performance measures designed to provide purchasers and consumers with the information they need for reliable comparison of health plan performance. HEDIS measures relate to many significant public health issues, such as cancer, heart disease, smoking, asthma, and diabetes. (CMS.gov)</t>
  </si>
  <si>
    <t>HEDIS_Min_Year</t>
  </si>
  <si>
    <t>HEDIS_Max_Year</t>
  </si>
  <si>
    <t>Healthcare Effectiveness Data and Information Set</t>
  </si>
  <si>
    <t>Healthcare Effectiveness Data and Information Set (HEDIS)</t>
  </si>
  <si>
    <t>TBD</t>
  </si>
  <si>
    <t>Added HEDIS Data Type</t>
  </si>
  <si>
    <t>Study Not Listed Above (Non-Data Sharing Partner Requesting Linked-CMS Data for Research Purpose)</t>
  </si>
  <si>
    <t xml:space="preserve">Added Study Not Listed Above (Non-Data-Sharing Partner Requesting Linked-CMS data for researcher purpose) Option </t>
  </si>
  <si>
    <t>Updated the content to reflect the new variable categories.</t>
  </si>
  <si>
    <t>Added new categories and variables.</t>
  </si>
  <si>
    <t xml:space="preserve">Updated data years. </t>
  </si>
  <si>
    <t>(650) 558-8310 | support@linkagesupport.zendesk.com</t>
  </si>
  <si>
    <t>©2023 LINKAGE</t>
  </si>
  <si>
    <t>The data file that DOES require variable category justifications is the Part D Drug Event (PDE). This file has a separate request tab explained below.</t>
  </si>
  <si>
    <t>WARNING: If you inadvertently delete a file selection and justification, you will break the tab's formulas. To correct this issue, either click Excel's Undo function (if you have not saved) or drag the cell above or below the current cell to that cell.</t>
  </si>
  <si>
    <t>The table below lists terms used in the LINKAGE Data Request Form and provides definitions for them.</t>
  </si>
  <si>
    <t>The LINKAGE-defined category for the variable, which consists of Beneficiary, Characteristics, Coverage, Pharmacy, Plan, Plan/Contract, Prescriber, Prescription Attributes, Processing, Third Party, and Total.</t>
  </si>
  <si>
    <t>The LINKAGE-defined indicator of whether the variable is an amount, code, date, or identifier.</t>
  </si>
  <si>
    <t>LINKAGE Request Form for NIA Study Cohorts’ CMS Data</t>
  </si>
  <si>
    <t>Review critical background information on the LINKAGE Data Request Form.</t>
  </si>
  <si>
    <t>Learn about the three masking levels for LINKAGE-produced CMS data.</t>
  </si>
  <si>
    <t>Added tab to compare LINKAGE request materials to the ResDAC request materials. Moved comparison information from the About Request Form to this tab.</t>
  </si>
  <si>
    <t>The data files that do NOT require variable category justifications are Medicare Enrollment data (i.e., Denominator (DN) and Master Beneficiary Summary File (MBSF) - Base Segment data), Additional Medicare Summary Files (i.e., MBSF: Chronic Conditions, Cost &amp; Utilization, and Other Chronic or Potentially Disabling Conditions data), Medicaid Enrollment files (i.e., Medicaid Analytic eXtract (MAX) Personal Summary (PS) and TMSIS Analytic Files (TAF) Demographic and Eligibility (DE) data), Medicare Parts A &amp; B data (i.e., Medicare Carrier (PB) claims, Medicare Durable Medical Equipment (DM) claims, Medicare Home Health (HH) claims, Medicare Hospice (HS) claims, Medicare Inpatient (IP) claims, Medicare Outpatient (OP) claims, Medicare Skilled Nursing Facility (SN) claims), LINKAGE-Built Medicare Provider Analysis &amp; Review (MedPAR)) data, Part C data (i.e., Medicare PB Encounter claims, Medicare DM Encounter claims, Medicare HH Encounter claims, Medicare IP Encounter claims, Medicare OP Encounter claims, Medicare SN Encounter claims), Part D Drug data (e.g., Medicare Part D Medication Therapy Management (MTM)), Medicaid data (i.e., MAX IP claims, MAX Long Term Care (LT) claims, MAX Other Services (OT) claims, MAX Prescription Drug (RX) data, TAF IP claims, TAF LT claims, TAF OT claims, and TAF RX data), and Assessment data (i.e., Institutional Rehabilitation Facility (IRF) - Patient Assessment Instrument (PAI),  Long-Term Care Minimum Data Set (MDS), and Home Health Outcome and Assessment Information Set (OASIS) data).</t>
  </si>
  <si>
    <t xml:space="preserve">As with the MDS_Request and IRFPAI_Request tabs, the PDE_Request tab contains a form for requesting categories of PDE variables--that is, groups of related variables--developed by LINKAGE data analysts. </t>
  </si>
  <si>
    <t xml:space="preserve">NOTE: LINKAGE's data file has a LINKAGE-created, random, and unique identification number for each Centers for Medicare &amp; Medicaid Services (CMS) beneficiary. As such, you will be able to link all data files you receive to other LINKAGE-provided files. </t>
  </si>
  <si>
    <t>LINKAGE-Built Medicare Provider Analysis &amp; Review (MedPAR)</t>
  </si>
  <si>
    <t xml:space="preserve">LINKAGE offers two Part D drug file types: Medicare Part D Medication Therapy Management (MTM) and Medicare Part D Prescription Drug Event (PDE). </t>
  </si>
  <si>
    <t>LINKAGE offers two type of Medicaid claims and enrollment data: Medicaid Analytic eXtract (MAX) and Transformed Medicaid Statistical Information System (TMSIS). Each type has five data files, as defined below.</t>
  </si>
  <si>
    <t xml:space="preserve">NOTE: LINKAGE's PDE file has a LINKAGE-created, random, and unique identification number for each Centers for Medicare &amp; Medicaid Services (CMS) beneficiary. As such, you will be able to link all PDE files you receive to other LINKAGE-provided files. </t>
  </si>
  <si>
    <t>LINKAGE VARIABLE NAME/ALIAS</t>
  </si>
  <si>
    <t>Medicare Part D Prescription Drug Event (PDE) LINKAGE Categories</t>
  </si>
  <si>
    <t>The table below contains a high-level description of each type or set of files that LINKAGE offers.</t>
  </si>
  <si>
    <t>LINKAGE offers the following eight Parts A &amp; B files: 
1. Carrier (PB), The Medicare PB file contains health services information (e.g., dates of service, diagnoses codes, procedure codes) from professional non-institutional providers (e.g., individual/group practitioners, non-hospital labs, or physicians) for Medicare beneficiaries.
2. Durable Medical Equipment (DME), The Medicare DME file contains health services information on items (e.g., prosthetic device, ventilator, or wheelchair) that are medically necessary and doctor-prescribed to Medicare beneficiaries. DME suppliers submit these claims.
3. Home Health (HH), The Medicare HH file contains health services information (e.g., diagnoses codes, discharge status, service costs) from agencies that provide home healthcare services (e.g., skilled care, home health aide, or physical therapy) to Medicare beneficiaries.
4. Hospice (HS), The Medicare HS file contains health services information (e.g., procedure codes, provider characteristics, service costs) from healthcare providers or facilities that offer care to terminally ill Medicare beneficiaries.
5. Inpatient (IP), The Medicare IP file contains health services information (e.g., diagnose codes, drug codes, and procedure codes) from overnight inpatient hospital stays for Medicare beneficiaries.
6. Medicare Provider Analysis and Review (MedPAR), The MedPAR file contains health service information (e.g., eligibility status, processing codes, or service costs,) from two Part A settings–Inpatient (IP) and Skilled Nursing Facility (SNF)– organized into stays, where 'stay' refers to the time between a beneficiary's admission to an IP or SNF facility and the beneficiary's discharge from the facility.
7. Outpatient (OP), The Medicare OP file contains health services information (e.g., beneficiary demographics, procedure codes, processing codes) from institutional outpatient providers (e.g., outpatient rehabilitation facilities and renal dialysis facilities) for Medicare beneficiaries.
8. Skilled Nursing Facility (SNF), The Medicare SNF file contains health services information (e.g., diagnoses codes, facility type, processing codes) from facilities that provide skilled nursing and therapy care to Medicare beneficiaries.</t>
  </si>
  <si>
    <t>To help you understand the encryption levels set by a NIA-funded study, the table below specifies key identifiers and how LINKAGE handles these identifiers in each  version offered by the NIA-funded study.</t>
  </si>
  <si>
    <t>The table below lists acronyms used in the LINKAGE Data Request Form and provides full terms for them.</t>
  </si>
  <si>
    <t>LINKAGE</t>
  </si>
  <si>
    <t>POINT OF CONTACT (POC) INFORMATION [Person Responsible for Data Acquisition Questions and/or Tasks]</t>
  </si>
  <si>
    <r>
      <t>This tab contains revisions made to thi</t>
    </r>
    <r>
      <rPr>
        <sz val="12"/>
        <color rgb="FF262626"/>
        <rFont val="Segoe UI"/>
        <family val="2"/>
      </rPr>
      <t>s Request Form</t>
    </r>
    <r>
      <rPr>
        <sz val="12"/>
        <color theme="1" tint="0.14993743705557422"/>
        <rFont val="Segoe UI"/>
        <family val="2"/>
      </rPr>
      <t>, specifying the date of the revision(s), the affected worksheet tab(s), and a summary of all revision</t>
    </r>
    <r>
      <rPr>
        <sz val="12"/>
        <color theme="1" tint="0.14999847407452621"/>
        <rFont val="Segoe UI"/>
        <family val="2"/>
      </rPr>
      <t>s</t>
    </r>
    <r>
      <rPr>
        <sz val="12"/>
        <color theme="1" tint="0.14993743705557422"/>
        <rFont val="Segoe UI"/>
        <family val="2"/>
      </rPr>
      <t xml:space="preserve"> made.</t>
    </r>
  </si>
  <si>
    <r>
      <t>Edited the Table of Contents to re</t>
    </r>
    <r>
      <rPr>
        <sz val="12"/>
        <color rgb="FF262626"/>
        <rFont val="Segoe UI"/>
        <family val="2"/>
      </rPr>
      <t>flect Form</t>
    </r>
    <r>
      <rPr>
        <sz val="12"/>
        <color theme="1" tint="0.14996795556505021"/>
        <rFont val="Segoe UI"/>
        <family val="2"/>
      </rPr>
      <t xml:space="preserve"> updates.</t>
    </r>
  </si>
  <si>
    <r>
      <t>Added Revision_Log to docume</t>
    </r>
    <r>
      <rPr>
        <sz val="12"/>
        <color rgb="FF262626"/>
        <rFont val="Segoe UI"/>
        <family val="2"/>
      </rPr>
      <t>nt Form</t>
    </r>
    <r>
      <rPr>
        <sz val="12"/>
        <color theme="1" tint="0.14996795556505021"/>
        <rFont val="Segoe UI"/>
        <family val="2"/>
      </rPr>
      <t xml:space="preserve"> changes.</t>
    </r>
  </si>
  <si>
    <r>
      <rPr>
        <sz val="12"/>
        <color rgb="FF09597D"/>
        <rFont val="Segoe UI"/>
        <family val="2"/>
      </rPr>
      <t>Beneficiary Information</t>
    </r>
    <r>
      <rPr>
        <sz val="12"/>
        <color theme="1" tint="0.14996795556505021"/>
        <rFont val="Segoe UI"/>
        <family val="2"/>
      </rPr>
      <t xml:space="preserve">, which contains identification and residential information on beneficiaries. </t>
    </r>
  </si>
  <si>
    <r>
      <rPr>
        <sz val="12"/>
        <color rgb="FF09597D"/>
        <rFont val="Segoe UI"/>
        <family val="2"/>
      </rPr>
      <t>Clinical Information</t>
    </r>
    <r>
      <rPr>
        <sz val="12"/>
        <color theme="1" tint="0.14996795556505021"/>
        <rFont val="Segoe UI"/>
        <family val="2"/>
      </rPr>
      <t xml:space="preserve">, which </t>
    </r>
    <r>
      <rPr>
        <sz val="12"/>
        <rFont val="Segoe UI"/>
        <family val="2"/>
      </rPr>
      <t>documents</t>
    </r>
    <r>
      <rPr>
        <sz val="12"/>
        <color theme="1" tint="0.14996795556505021"/>
        <rFont val="Segoe UI"/>
        <family val="2"/>
      </rPr>
      <t xml:space="preserve"> prescriptions, including but not limited to the drug code, quantity dispensed, and days supply. </t>
    </r>
  </si>
  <si>
    <r>
      <rPr>
        <sz val="12"/>
        <color rgb="FF09597D"/>
        <rFont val="Segoe UI"/>
        <family val="2"/>
      </rPr>
      <t>Payment Information</t>
    </r>
    <r>
      <rPr>
        <sz val="12"/>
        <color theme="1" tint="0.14996795556505021"/>
        <rFont val="Segoe UI"/>
        <family val="2"/>
      </rPr>
      <t xml:space="preserve">, which </t>
    </r>
    <r>
      <rPr>
        <sz val="12"/>
        <rFont val="Segoe UI"/>
        <family val="2"/>
      </rPr>
      <t>specifies</t>
    </r>
    <r>
      <rPr>
        <sz val="12"/>
        <color theme="1" tint="0.14996795556505021"/>
        <rFont val="Segoe UI"/>
        <family val="2"/>
      </rPr>
      <t xml:space="preserve"> total, Medicare, third payment, plan and beneficiary payment information. </t>
    </r>
  </si>
  <si>
    <r>
      <rPr>
        <sz val="12"/>
        <color rgb="FF09597D"/>
        <rFont val="Segoe UI"/>
        <family val="2"/>
      </rPr>
      <t>Provider Information</t>
    </r>
    <r>
      <rPr>
        <sz val="12"/>
        <color theme="1" tint="0.14996795556505021"/>
        <rFont val="Segoe UI"/>
        <family val="2"/>
      </rPr>
      <t xml:space="preserve">, which </t>
    </r>
    <r>
      <rPr>
        <sz val="12"/>
        <rFont val="Segoe UI"/>
        <family val="2"/>
      </rPr>
      <t>provides</t>
    </r>
    <r>
      <rPr>
        <sz val="12"/>
        <color theme="1" tint="0.14996795556505021"/>
        <rFont val="Segoe UI"/>
        <family val="2"/>
      </rPr>
      <t xml:space="preserve"> prescriber, plan, or contract information. </t>
    </r>
  </si>
  <si>
    <r>
      <t xml:space="preserve">REQUESTER FULL NAME
</t>
    </r>
    <r>
      <rPr>
        <i/>
        <sz val="11"/>
        <color rgb="FF262626"/>
        <rFont val="Segoe UI"/>
        <family val="2"/>
      </rPr>
      <t>Enter first name then last.</t>
    </r>
  </si>
  <si>
    <r>
      <t xml:space="preserve">REQUESTER AFFILIATED INSTITUTION/ORGANIZATION
</t>
    </r>
    <r>
      <rPr>
        <i/>
        <sz val="11"/>
        <rFont val="Segoe UI"/>
        <family val="2"/>
      </rPr>
      <t>Enter the name of the requester's affiliated institution or organization.</t>
    </r>
  </si>
  <si>
    <r>
      <t xml:space="preserve">ADDITIONAL YEARS OF CMS DATA NEEDED IN THE FUTURE
</t>
    </r>
    <r>
      <rPr>
        <i/>
        <sz val="11"/>
        <color rgb="FF262626"/>
        <rFont val="Segoe UI"/>
        <family val="2"/>
      </rPr>
      <t>Indicate whether you plan to add additional years of CMS data in the future.</t>
    </r>
  </si>
  <si>
    <r>
      <t xml:space="preserve">NON-CMS OR NON-IDENTIFIABLE FILES PLANNED FOR USE
</t>
    </r>
    <r>
      <rPr>
        <i/>
        <sz val="11"/>
        <color rgb="FF262626"/>
        <rFont val="Segoe UI"/>
        <family val="2"/>
      </rPr>
      <t>List any non-CMS or non-identifiable files you intend to use along with the CMS data files to support your data collection work.</t>
    </r>
  </si>
  <si>
    <r>
      <t xml:space="preserve">POC FULL NAME
</t>
    </r>
    <r>
      <rPr>
        <i/>
        <sz val="11"/>
        <color rgb="FF262626"/>
        <rFont val="Segoe UI"/>
        <family val="2"/>
      </rPr>
      <t>Enter first name then last.</t>
    </r>
  </si>
  <si>
    <r>
      <t xml:space="preserve">AFFILIATED INSTITUTION/ORGANIZATION
</t>
    </r>
    <r>
      <rPr>
        <i/>
        <sz val="11"/>
        <rFont val="Segoe UI"/>
        <family val="2"/>
      </rPr>
      <t>Enter the name of the POC's affiliated institution or organization.</t>
    </r>
  </si>
  <si>
    <r>
      <t xml:space="preserve">INSTITUTION/ORGANIZATION ADDRESS
</t>
    </r>
    <r>
      <rPr>
        <i/>
        <sz val="11"/>
        <color rgb="FF262626"/>
        <rFont val="Segoe UI"/>
        <family val="2"/>
      </rPr>
      <t>Enter street address, city, state, and ZIP code.</t>
    </r>
  </si>
  <si>
    <r>
      <t xml:space="preserve">PHONE NUMBER 
</t>
    </r>
    <r>
      <rPr>
        <i/>
        <sz val="11"/>
        <color rgb="FF262626"/>
        <rFont val="Segoe UI"/>
        <family val="2"/>
      </rPr>
      <t>Enter number without parentheses, dashes, or spaces.</t>
    </r>
  </si>
  <si>
    <r>
      <t xml:space="preserve">BUSINESS EMAIL </t>
    </r>
    <r>
      <rPr>
        <sz val="11"/>
        <color rgb="FF09597D"/>
        <rFont val="Segoe UI"/>
        <family val="2"/>
      </rPr>
      <t>[LIMIT: ONE EMAIL ADDRESS]</t>
    </r>
    <r>
      <rPr>
        <sz val="11"/>
        <color theme="1" tint="0.24994659260841701"/>
        <rFont val="Segoe UI"/>
        <family val="2"/>
      </rPr>
      <t xml:space="preserve">
</t>
    </r>
    <r>
      <rPr>
        <i/>
        <sz val="11"/>
        <color theme="1" tint="0.24994659260841701"/>
        <rFont val="Segoe UI"/>
        <family val="2"/>
      </rPr>
      <t>Enter username@hostname.domain.</t>
    </r>
  </si>
  <si>
    <r>
      <t xml:space="preserve">NIA DUA NUMBER
</t>
    </r>
    <r>
      <rPr>
        <i/>
        <sz val="11"/>
        <rFont val="Segoe UI"/>
        <family val="2"/>
      </rPr>
      <t>Enter your existing NIA DUA number.</t>
    </r>
  </si>
  <si>
    <r>
      <t xml:space="preserve">CUSTODIAN FULL NAME
</t>
    </r>
    <r>
      <rPr>
        <i/>
        <sz val="11"/>
        <color rgb="FF262626"/>
        <rFont val="Segoe UI"/>
        <family val="2"/>
      </rPr>
      <t>Enter first name then last.</t>
    </r>
  </si>
  <si>
    <r>
      <t xml:space="preserve">AFFILIATED INSTITUTION/ORGANIZATION
</t>
    </r>
    <r>
      <rPr>
        <i/>
        <sz val="11"/>
        <rFont val="Segoe UI"/>
        <family val="2"/>
      </rPr>
      <t>Enter the name of the custodian's affiliated institution or organization.</t>
    </r>
  </si>
  <si>
    <r>
      <t xml:space="preserve">ADDRESS
</t>
    </r>
    <r>
      <rPr>
        <i/>
        <sz val="11"/>
        <color rgb="FF262626"/>
        <rFont val="Segoe UI"/>
        <family val="2"/>
      </rPr>
      <t>Enter street address, city, state, and ZIP code.</t>
    </r>
  </si>
  <si>
    <r>
      <rPr>
        <sz val="11"/>
        <color rgb="FF262626"/>
        <rFont val="Segoe UI"/>
        <family val="2"/>
      </rPr>
      <t xml:space="preserve">BUSINESS EMAIL </t>
    </r>
    <r>
      <rPr>
        <sz val="11"/>
        <color rgb="FF09597D"/>
        <rFont val="Segoe UI"/>
        <family val="2"/>
      </rPr>
      <t>[LIMIT: ONE EMAIL ADDRESS]</t>
    </r>
    <r>
      <rPr>
        <sz val="11"/>
        <color theme="1" tint="0.24994659260841701"/>
        <rFont val="Segoe UI"/>
        <family val="2"/>
      </rPr>
      <t xml:space="preserve">
</t>
    </r>
    <r>
      <rPr>
        <i/>
        <sz val="11"/>
        <color rgb="FF262626"/>
        <rFont val="Segoe UI"/>
        <family val="2"/>
      </rPr>
      <t>Enter username@hostname.domain.</t>
    </r>
  </si>
  <si>
    <r>
      <rPr>
        <b/>
        <sz val="11"/>
        <color theme="0"/>
        <rFont val="Segoe UI"/>
        <family val="2"/>
      </rPr>
      <t>5. REQUEST JUSTIFICATION FOR MEDICARE ENROLLMENT DATA (REQUIRED)</t>
    </r>
    <r>
      <rPr>
        <sz val="11"/>
        <color theme="0"/>
        <rFont val="Segoe UI"/>
        <family val="2"/>
      </rPr>
      <t xml:space="preserve">
Explain why you need the files requested and how the requested files meet the minimum data necessary for your research project.</t>
    </r>
  </si>
  <si>
    <r>
      <rPr>
        <b/>
        <sz val="11"/>
        <color theme="0"/>
        <rFont val="Segoe UI"/>
        <family val="2"/>
      </rPr>
      <t>5. REQUEST JUSTIFICATION FOR ADDITIONAL MEDICARE SUMMARY FILES (REQUIRED)</t>
    </r>
    <r>
      <rPr>
        <sz val="11"/>
        <color theme="0"/>
        <rFont val="Segoe UI"/>
        <family val="2"/>
      </rPr>
      <t xml:space="preserve">
Explain why you need the files requested and how the requested files meet the minimum data necessary for your research project.</t>
    </r>
  </si>
  <si>
    <r>
      <rPr>
        <b/>
        <sz val="11"/>
        <color theme="0"/>
        <rFont val="Segoe UI"/>
        <family val="2"/>
      </rPr>
      <t>5. REQUEST JUSTIFICATION FOR MEDICAID ENROLLMENT DATA (REQUIRED)</t>
    </r>
    <r>
      <rPr>
        <sz val="11"/>
        <color theme="0"/>
        <rFont val="Segoe UI"/>
        <family val="2"/>
      </rPr>
      <t xml:space="preserve">
Explain why you need the files requested and how the requested files meet the minimum data necessary for your research project.</t>
    </r>
  </si>
  <si>
    <r>
      <rPr>
        <b/>
        <sz val="11"/>
        <color theme="0"/>
        <rFont val="Segoe UI"/>
        <family val="2"/>
      </rPr>
      <t>5. REQUEST JUSTIFICATION FOR MEDICARE PART A &amp; B CLAIMS DATA (REQUIRED)</t>
    </r>
    <r>
      <rPr>
        <sz val="11"/>
        <color theme="0"/>
        <rFont val="Segoe UI"/>
        <family val="2"/>
      </rPr>
      <t xml:space="preserve">
Explain why you need the files requested and how the requested files meet the minimum data necessary for your research project.</t>
    </r>
  </si>
  <si>
    <r>
      <rPr>
        <b/>
        <sz val="11"/>
        <color theme="0"/>
        <rFont val="Segoe UI"/>
        <family val="2"/>
      </rPr>
      <t>5. REQUEST JUSTIFICATION FOR PART C CLAIMS DATA (REQUIRED)</t>
    </r>
    <r>
      <rPr>
        <sz val="11"/>
        <color theme="0"/>
        <rFont val="Segoe UI"/>
        <family val="2"/>
      </rPr>
      <t xml:space="preserve">
Explain why you need the files requested and how the requested files meet the minimum data necessary for your research project.</t>
    </r>
  </si>
  <si>
    <r>
      <rPr>
        <b/>
        <sz val="11"/>
        <color theme="0"/>
        <rFont val="Segoe UI"/>
        <family val="2"/>
      </rPr>
      <t>5. REQUEST JUSTIFICATION FOR PART D MTM DATA (REQUIRED)</t>
    </r>
    <r>
      <rPr>
        <sz val="11"/>
        <color theme="0"/>
        <rFont val="Segoe UI"/>
        <family val="2"/>
      </rPr>
      <t xml:space="preserve">
Explain why you need the files requested and how the requested files meet the minimum data necessary for your research project.</t>
    </r>
  </si>
  <si>
    <r>
      <rPr>
        <b/>
        <sz val="11"/>
        <color theme="0"/>
        <rFont val="Segoe UI"/>
        <family val="2"/>
      </rPr>
      <t>5. REQUEST JUSTIFICATION FOR MEDICAID CLAIMS DATA (REQUIRED)</t>
    </r>
    <r>
      <rPr>
        <sz val="11"/>
        <color theme="0"/>
        <rFont val="Segoe UI"/>
        <family val="2"/>
      </rPr>
      <t xml:space="preserve">
Explain why you need the files requested and how the requested files meet the minimum data necessary for your research project.</t>
    </r>
  </si>
  <si>
    <r>
      <rPr>
        <b/>
        <sz val="11"/>
        <color theme="0"/>
        <rFont val="Segoe UI"/>
        <family val="2"/>
      </rPr>
      <t>5. REQUEST JUSTIFICATION FOR IRF-PAI DATA (REQUIRED)</t>
    </r>
    <r>
      <rPr>
        <sz val="11"/>
        <color theme="0"/>
        <rFont val="Segoe UI"/>
        <family val="2"/>
      </rPr>
      <t xml:space="preserve">
Explain why you need the files requested and how the requested files meet the minimum data necessary for your research project.</t>
    </r>
  </si>
  <si>
    <r>
      <rPr>
        <b/>
        <sz val="11"/>
        <color theme="0"/>
        <rFont val="Segoe UI"/>
        <family val="2"/>
      </rPr>
      <t>5. REQUEST JUSTIFICATION FOR MDS DATA (REQUIRED)</t>
    </r>
    <r>
      <rPr>
        <sz val="11"/>
        <color theme="0"/>
        <rFont val="Segoe UI"/>
        <family val="2"/>
      </rPr>
      <t xml:space="preserve">
Explain why you need the files requested and how the requested files meet the minimum data necessary for your research project.</t>
    </r>
  </si>
  <si>
    <r>
      <rPr>
        <b/>
        <sz val="11"/>
        <color theme="0"/>
        <rFont val="Segoe UI"/>
        <family val="2"/>
      </rPr>
      <t>5. REQUEST JUSTIFICATION FOR OASIS DATA (REQUIRED)</t>
    </r>
    <r>
      <rPr>
        <sz val="11"/>
        <color theme="0"/>
        <rFont val="Segoe UI"/>
        <family val="2"/>
      </rPr>
      <t xml:space="preserve">
Explain why you need the files requested and how the requested files meet the minimum data necessary for your research project.</t>
    </r>
  </si>
  <si>
    <r>
      <rPr>
        <b/>
        <sz val="11"/>
        <color theme="0"/>
        <rFont val="Segoe UI"/>
        <family val="2"/>
      </rPr>
      <t>2. REQUEST JUSTIFICATION FOR BENEFICIARY INFORMATION (REQUIRED)</t>
    </r>
    <r>
      <rPr>
        <sz val="11"/>
        <color theme="0"/>
        <rFont val="Segoe UI"/>
        <family val="2"/>
      </rPr>
      <t xml:space="preserve">
Explain why you need the variables requested and how the requested variables meet the minimum data necessary for your research project.</t>
    </r>
  </si>
  <si>
    <r>
      <rPr>
        <b/>
        <sz val="11"/>
        <color theme="0"/>
        <rFont val="Segoe UI"/>
        <family val="2"/>
      </rPr>
      <t>2. REQUEST JUSTIFICATION FOR CLINICAL INFORMATION (REQUIRED)</t>
    </r>
    <r>
      <rPr>
        <sz val="11"/>
        <color theme="0"/>
        <rFont val="Segoe UI"/>
        <family val="2"/>
      </rPr>
      <t xml:space="preserve">
Explain why you need the variables requested and how the requested variables meet the minimum data necessary for your research project.</t>
    </r>
  </si>
  <si>
    <r>
      <rPr>
        <b/>
        <sz val="11"/>
        <color theme="0"/>
        <rFont val="Segoe UI"/>
        <family val="2"/>
      </rPr>
      <t>2. REQUEST JUSTIFICATION FOR PAYMENT INFORMATION (REQUIRED)</t>
    </r>
    <r>
      <rPr>
        <sz val="11"/>
        <color theme="0"/>
        <rFont val="Segoe UI"/>
        <family val="2"/>
      </rPr>
      <t xml:space="preserve">
Explain why you need the variables requested and how the requested variables meet the minimum data necessary for your research project.</t>
    </r>
  </si>
  <si>
    <r>
      <rPr>
        <b/>
        <sz val="11"/>
        <color theme="0"/>
        <rFont val="Segoe UI"/>
        <family val="2"/>
      </rPr>
      <t>2. REQUEST JUSTIFICATION FOR PROVIDER INFORMATION (REQUIRED)</t>
    </r>
    <r>
      <rPr>
        <sz val="11"/>
        <color theme="0"/>
        <rFont val="Segoe UI"/>
        <family val="2"/>
      </rPr>
      <t xml:space="preserve">
Explain why you need the variables requested and how the requested variables meet the minimum data necessary for your research project.</t>
    </r>
  </si>
  <si>
    <r>
      <rPr>
        <sz val="12"/>
        <color rgb="FF09597D"/>
        <rFont val="Segoe UI"/>
        <family val="2"/>
      </rPr>
      <t>Medicare Enrollment Data</t>
    </r>
    <r>
      <rPr>
        <sz val="12"/>
        <color theme="1" tint="0.14996795556505021"/>
        <rFont val="Segoe UI"/>
        <family val="2"/>
      </rPr>
      <t>, which includes Denominator (DN) and Master Beneficiary Summary File (MBSF) - Base Segment data.</t>
    </r>
  </si>
  <si>
    <r>
      <rPr>
        <sz val="12"/>
        <color rgb="FF09597D"/>
        <rFont val="Segoe UI"/>
        <family val="2"/>
      </rPr>
      <t>Additional Medicare Summary Files</t>
    </r>
    <r>
      <rPr>
        <sz val="12"/>
        <color theme="1" tint="0.14996795556505021"/>
        <rFont val="Segoe UI"/>
        <family val="2"/>
      </rPr>
      <t>, which includes MBSF: Chronic Conditions, Cost &amp; Utilization, and Other Chronic or Potentially Disabling Conditions data.</t>
    </r>
  </si>
  <si>
    <r>
      <rPr>
        <sz val="12"/>
        <color rgb="FF09597D"/>
        <rFont val="Segoe UI"/>
        <family val="2"/>
      </rPr>
      <t>Medicaid Enrollment Data</t>
    </r>
    <r>
      <rPr>
        <sz val="12"/>
        <color theme="1" tint="0.14996795556505021"/>
        <rFont val="Segoe UI"/>
        <family val="2"/>
      </rPr>
      <t>, which includes Medicaid Analytic eXtract (MAX) Personal Summary (PS) and TMSIS Analytic Files (TAF) Demographic and Eligibility (DE) data.</t>
    </r>
  </si>
  <si>
    <r>
      <rPr>
        <sz val="12"/>
        <color rgb="FF09597D"/>
        <rFont val="Segoe UI"/>
        <family val="2"/>
      </rPr>
      <t>Parts A &amp; B Data</t>
    </r>
    <r>
      <rPr>
        <sz val="12"/>
        <color theme="1" tint="0.14996795556505021"/>
        <rFont val="Segoe UI"/>
        <family val="2"/>
      </rPr>
      <t xml:space="preserve">, which includes Medicare Carrier (PB) claims, Medicare Durable Medical Equipment (DM) claims, Medicare Home Health (HH) claims, Medicare Hospice (HS) claims, Medicare Inpatient (IP) claims, Medicare Outpatient (OP) claims, Medicare Skilled Nursing Facility (SN) claims, and LINKAGE-Built Medicare Provider Analysis &amp; Review (MedPAR) data. </t>
    </r>
  </si>
  <si>
    <r>
      <rPr>
        <sz val="12"/>
        <color rgb="FF09597D"/>
        <rFont val="Segoe UI"/>
        <family val="2"/>
      </rPr>
      <t>Part C Data</t>
    </r>
    <r>
      <rPr>
        <sz val="12"/>
        <color theme="1" tint="0.14996795556505021"/>
        <rFont val="Segoe UI"/>
        <family val="2"/>
      </rPr>
      <t>, which includes Medicare PB Encounter claims, Medicare DM Encounter claims, Medicare HH Encounter claims, Medicare IP Encounter claims, Medicare OP Encounter claims, and Medicare SN Encounter claims.</t>
    </r>
  </si>
  <si>
    <r>
      <rPr>
        <sz val="12"/>
        <color rgb="FF09597D"/>
        <rFont val="Segoe UI"/>
        <family val="2"/>
      </rPr>
      <t>Part D Data</t>
    </r>
    <r>
      <rPr>
        <sz val="12"/>
        <color theme="1" tint="0.14996795556505021"/>
        <rFont val="Segoe UI"/>
        <family val="2"/>
      </rPr>
      <t>, which includes Medicare Part D Medication Therapy Management (MTM) data.</t>
    </r>
  </si>
  <si>
    <r>
      <rPr>
        <sz val="12"/>
        <color rgb="FF09597D"/>
        <rFont val="Segoe UI"/>
        <family val="2"/>
      </rPr>
      <t>Medicaid Data</t>
    </r>
    <r>
      <rPr>
        <sz val="12"/>
        <color theme="1" tint="0.14996795556505021"/>
        <rFont val="Segoe UI"/>
        <family val="2"/>
      </rPr>
      <t>, which includes MAX IP claims, MAX Long Term Care (LT) claims, MAX Other Services (OT) claims, MAX Prescription Drug (RX) data, TMSIS Analytic Files (TAF) IP claims, TAF LT claims, TAF OT claims, and TAF RX data.</t>
    </r>
  </si>
  <si>
    <r>
      <rPr>
        <sz val="12"/>
        <color rgb="FF09597D"/>
        <rFont val="Segoe UI"/>
        <family val="2"/>
      </rPr>
      <t>HEDIS Data</t>
    </r>
    <r>
      <rPr>
        <sz val="12"/>
        <color theme="1" tint="0.14996795556505021"/>
        <rFont val="Segoe UI"/>
        <family val="2"/>
      </rPr>
      <t xml:space="preserve">, which includes Healthcare Effectiveness Data and Information Set (HEDIS) data. </t>
    </r>
  </si>
  <si>
    <r>
      <rPr>
        <sz val="12"/>
        <color rgb="FF09597D"/>
        <rFont val="Segoe UI"/>
        <family val="2"/>
      </rPr>
      <t>Assessment Data</t>
    </r>
    <r>
      <rPr>
        <sz val="12"/>
        <color theme="1" tint="0.14996795556505021"/>
        <rFont val="Segoe UI"/>
        <family val="2"/>
      </rPr>
      <t>, which includes Inpatient Rehab Facility-Patient Assessment Instrument (IRF-PAI), Long-Term Care Minimum Data Set (MDS), and Outcome and Assessment Information Set (OASIS) data.</t>
    </r>
  </si>
  <si>
    <r>
      <rPr>
        <sz val="12"/>
        <color rgb="FF09597D"/>
        <rFont val="Segoe UI"/>
        <family val="2"/>
      </rPr>
      <t>Category-Level Form Fields</t>
    </r>
    <r>
      <rPr>
        <sz val="12"/>
        <color theme="1" tint="0.14996795556505021"/>
        <rFont val="Segoe UI"/>
        <family val="2"/>
      </rPr>
      <t>, which enable you to request all files within a category at the same time and provide a standard justification for all files in the category; and</t>
    </r>
  </si>
  <si>
    <r>
      <rPr>
        <sz val="12"/>
        <color rgb="FF09597D"/>
        <rFont val="Segoe UI"/>
        <family val="2"/>
      </rPr>
      <t>File-Level Form Fields</t>
    </r>
    <r>
      <rPr>
        <sz val="12"/>
        <color theme="1" tint="0.14996795556505021"/>
        <rFont val="Segoe UI"/>
        <family val="2"/>
      </rPr>
      <t>, which enable you to either remove specific files from your request or modify a specific file's years and/or justification.</t>
    </r>
  </si>
  <si>
    <t>This tab contains critical background information on the LINKAGE Request Form for NIA-funded study's CMS data, including how NIA has organized request form fields for NIA's CMS data request process. The tab also contains high-level guidance for completing request tabs.</t>
  </si>
  <si>
    <r>
      <rPr>
        <sz val="12"/>
        <color rgb="FF262626"/>
        <rFont val="Segoe UI"/>
        <family val="2"/>
      </rPr>
      <t xml:space="preserve">Within each variable category, the tab specifies the Variable Name/Alias, Variable Label, and Variable Description. For definitions of these terms, refer to the </t>
    </r>
    <r>
      <rPr>
        <u/>
        <sz val="12"/>
        <color rgb="FF09597D"/>
        <rFont val="Segoe UI"/>
        <family val="2"/>
      </rPr>
      <t>Appendix D: Glossary tab</t>
    </r>
    <r>
      <rPr>
        <sz val="12"/>
        <color rgb="FF262626"/>
        <rFont val="Segoe UI"/>
        <family val="2"/>
      </rPr>
      <t>.</t>
    </r>
  </si>
  <si>
    <r>
      <rPr>
        <sz val="12"/>
        <color rgb="FF09597D"/>
        <rFont val="Segoe UI"/>
        <family val="2"/>
      </rPr>
      <t>Category-Level Form Fields</t>
    </r>
    <r>
      <rPr>
        <sz val="12"/>
        <color theme="1" tint="0.14996795556505021"/>
        <rFont val="Segoe UI"/>
        <family val="2"/>
      </rPr>
      <t>, which enable you to request all variables within a category at the same time and provide a standard justification for all variables in the category; and</t>
    </r>
  </si>
  <si>
    <r>
      <rPr>
        <sz val="12"/>
        <color rgb="FF09597D"/>
        <rFont val="Segoe UI"/>
        <family val="2"/>
      </rPr>
      <t>Variable-Level Form Fields</t>
    </r>
    <r>
      <rPr>
        <sz val="12"/>
        <color theme="1" tint="0.14996795556505021"/>
        <rFont val="Segoe UI"/>
        <family val="2"/>
      </rPr>
      <t>, which enable you to either remove specific variables from your request or modify a specific variable's justification.</t>
    </r>
  </si>
  <si>
    <t>Medicaid Analytic eXtract (MAX) Inpatient (IP) Claims contain health services information (e.g., provider characteristics, service costs, service dates) from overnight inpatient hospital stays to Medicaid beneficiaries.
Medicaid Analytic eXtract (MAX) Long Term Care (LT) Claims contain health services information (e.g., facility type, dates of service, discharge status) from institutional long term care facilities (e.g., nursing facility services) for Medicaid beneficiaries.
Medicaid Analytic eXtract (MAX) Other Services (OT) Claims contain health services information (e.g., dates of service, diagnoses codes, procedure codes) from a host of other Medicaid services (e.g., physician services, clinic services, home health) for Medicaid beneficiaries.
Medicaid Analytic eXtract (MAX) Personal Summary (PS) Enrollment Data contain demographic, eligibility, and enrollment information for Medicaid beneficiaries.
Medicaid Analytic eXtract (MAX) Prescription Drug (RX) Data contain information on Medicaid beneficiaries’ prescribed drugs and drug fills, when a Medicaid managed care organization pays for those drugs.</t>
  </si>
  <si>
    <t xml:space="preserve">Medicare Carrier Encounter Claims contain health services information (e.g., dates of service, diagnoses codes, procedure codes) from professional providers (e.g. physicians, nurse practitioners) relative to MA plan paid records for Medicare beneficiaries.
Medicare Durable Medical Equipment (DME) Encounter contain health services information on medical supplies (e.g., prosthetic device, ventilator, or wheelchair) relative to MA plan paid records to Medicare beneficiaries. 
Medicare Home Health Agency (HH) Encounter Claims contain health services information (e.g., diagnoses codes, discharge status, service costs) from home health agency services relative to MA plan paid records for Medicare beneficiaries.
Medicare Inpatient (IP) Encounter Claims contain health services information (e.g., diagnose codes, drug codes, and procedure codes) from inpatient hospital stays relative to Medicare Advantage Plans (MA) paid records for Medicare beneficiaries.
Medicare Outpatient (OP) Encounter Claims contain health services information (e.g., beneficiary demographics, procedure codes, processing codes) from outpatient providers (e.g., rural health clinics and community mental health centers) relative to MA plan paid records for Medicare beneficiaries.
Medicare Skilled Nursing Facility (SNF) Encounter Claims contain health services information (e.g., diagnoses codes, facility type, processing codes) from skilled nursing facility stays relative to MA plan paid records for Medicare beneficiaries. </t>
  </si>
  <si>
    <t xml:space="preserve">TMSIS Analytic Files (TAF) Demographic and Eligibility (DE) Enrollment Data contain demographic, eligibility, and enrollment information of Medicaid beneficiaries.
TMSIS Analytic Files (TAF) Inpatient (IP) Claims contain  health services information (e.g., provider characteristics, service costs, service dates) from overnight inpatient hospital stays for Medicaid beneficiaries.
TMSIS Analytic Files (TAF) Long Term Care (LT) Claims contain  health services information (e.g., facility type, dates of service, discharge status) from institutional long term care facilities (e.g., nursing facility services) for Medicaid beneficiaries.
TMSIS Analytic Files (TAF) Other Services (OT) Claims contain health services information (e.g., physician services, clinic services, and home health services) for Medicaid beneficiaries.
TMSIS Analytic Files (TAF) Pharmacy (RX) Data contain information on Medicaid beneficiaries’ prescribed drugs and drug fills, when a Medicaid managed care organization pays for the drug. </t>
  </si>
  <si>
    <r>
      <rPr>
        <sz val="12"/>
        <rFont val="Segoe UI"/>
        <family val="2"/>
      </rPr>
      <t>To request Part D PDE, use the</t>
    </r>
    <r>
      <rPr>
        <sz val="12"/>
        <color rgb="FF09597D"/>
        <rFont val="Segoe UI"/>
        <family val="2"/>
      </rPr>
      <t xml:space="preserve"> </t>
    </r>
    <r>
      <rPr>
        <u/>
        <sz val="12"/>
        <color rgb="FF09597D"/>
        <rFont val="Segoe UI"/>
        <family val="2"/>
      </rPr>
      <t>PDE_Request</t>
    </r>
    <r>
      <rPr>
        <sz val="12"/>
        <color theme="1" tint="0.14999847407452621"/>
        <rFont val="Segoe UI"/>
        <family val="2"/>
      </rPr>
      <t xml:space="preserve"> </t>
    </r>
    <r>
      <rPr>
        <sz val="12"/>
        <rFont val="Segoe UI"/>
        <family val="2"/>
      </rPr>
      <t xml:space="preserve">tab. </t>
    </r>
  </si>
  <si>
    <t xml:space="preserve">If you need HEDIS data for your research project, complete form fields in numerical order (1, 2, 3, 4, and 5), as not doing so will break the tab's auto-populated formulas. </t>
  </si>
  <si>
    <t>Then, review the auto-populated content and edit if needed. HEDIS is not available in 2020, as CMS has not released that year's data.</t>
  </si>
  <si>
    <t xml:space="preserve">Medicare Part D Prescription Drug Event (PDE) Request Sub-Form
</t>
  </si>
  <si>
    <t>[A Variable Category-Level Request Sub-Form]</t>
  </si>
  <si>
    <r>
      <t xml:space="preserve">This </t>
    </r>
    <r>
      <rPr>
        <i/>
        <sz val="12"/>
        <color rgb="FF262626"/>
        <rFont val="Segoe UI"/>
        <family val="2"/>
      </rPr>
      <t xml:space="preserve">Summary of Request </t>
    </r>
    <r>
      <rPr>
        <sz val="12"/>
        <color rgb="FF262626"/>
        <rFont val="Segoe UI"/>
        <family val="2"/>
      </rPr>
      <t xml:space="preserve">specifies the file types and, for variable-level requests, variable categories that you have requested. </t>
    </r>
  </si>
  <si>
    <t>If, after reviewing this summary, you need to make any changes, navigate to the relevant tab and update your selections.</t>
  </si>
  <si>
    <t>When done, email valid NIA-funded study partner approval documentation, this Form, and all other file-based NIA DUA request materials to LINKAGE Support (support@linkagesupport.zendesk.com).</t>
  </si>
  <si>
    <t>If you have not yet selected an NIA-funded study in the Research_Project_Info tab, then this table will not display any content.</t>
  </si>
  <si>
    <r>
      <rPr>
        <sz val="12"/>
        <color rgb="FF262626"/>
        <rFont val="Segoe UI Semibold"/>
        <family val="2"/>
      </rPr>
      <t>NOTE</t>
    </r>
    <r>
      <rPr>
        <sz val="12"/>
        <color rgb="FF262626"/>
        <rFont val="Segoe UI"/>
        <family val="2"/>
      </rPr>
      <t xml:space="preserve">: You must select a NIA-funded study in the Research_Project_Info tab to view table information. </t>
    </r>
  </si>
  <si>
    <r>
      <rPr>
        <sz val="12"/>
        <rFont val="Segoe UI"/>
        <family val="2"/>
      </rPr>
      <t xml:space="preserve">Before completing this sub-form, review the </t>
    </r>
    <r>
      <rPr>
        <b/>
        <u/>
        <sz val="12"/>
        <color rgb="FF09597D"/>
        <rFont val="Segoe UI"/>
        <family val="2"/>
      </rPr>
      <t>About_Request_Form</t>
    </r>
    <r>
      <rPr>
        <sz val="12"/>
        <color rgb="FFA96D2B"/>
        <rFont val="Segoe UI"/>
        <family val="2"/>
      </rPr>
      <t xml:space="preserve"> </t>
    </r>
    <r>
      <rPr>
        <sz val="12"/>
        <rFont val="Segoe UI"/>
        <family val="2"/>
      </rPr>
      <t>tab, which contains critical information on sub-form fields and their differences relative to ResDAC's CMS data request materials.</t>
    </r>
  </si>
  <si>
    <r>
      <rPr>
        <sz val="12"/>
        <color rgb="FF262626"/>
        <rFont val="Segoe UI"/>
        <family val="2"/>
      </rPr>
      <t xml:space="preserve">If you are submitting an update request, complete the </t>
    </r>
    <r>
      <rPr>
        <sz val="12"/>
        <color rgb="FF09597D"/>
        <rFont val="Segoe UI"/>
        <family val="2"/>
      </rPr>
      <t>"</t>
    </r>
    <r>
      <rPr>
        <b/>
        <u/>
        <sz val="12"/>
        <color rgb="FF09597D"/>
        <rFont val="Segoe UI"/>
        <family val="2"/>
      </rPr>
      <t>Update Request Sub-Form Section</t>
    </r>
    <r>
      <rPr>
        <sz val="12"/>
        <color rgb="FF09597D"/>
        <rFont val="Segoe UI"/>
        <family val="2"/>
      </rPr>
      <t>"</t>
    </r>
    <r>
      <rPr>
        <sz val="12"/>
        <color rgb="FF262626"/>
        <rFont val="Segoe UI"/>
        <family val="2"/>
      </rPr>
      <t xml:space="preserve"> below.</t>
    </r>
  </si>
  <si>
    <r>
      <rPr>
        <sz val="12"/>
        <rFont val="Segoe UI"/>
        <family val="2"/>
      </rPr>
      <t xml:space="preserve">Before completing this sub-form, review the </t>
    </r>
    <r>
      <rPr>
        <b/>
        <u/>
        <sz val="12"/>
        <color rgb="FF09597D"/>
        <rFont val="Segoe UI"/>
        <family val="2"/>
      </rPr>
      <t>About_Request_Form</t>
    </r>
    <r>
      <rPr>
        <b/>
        <sz val="12"/>
        <color rgb="FFA96D2B"/>
        <rFont val="Segoe UI"/>
        <family val="2"/>
      </rPr>
      <t xml:space="preserve"> </t>
    </r>
    <r>
      <rPr>
        <b/>
        <sz val="12"/>
        <rFont val="Segoe UI"/>
        <family val="2"/>
      </rPr>
      <t>tab</t>
    </r>
    <r>
      <rPr>
        <sz val="12"/>
        <rFont val="Segoe UI"/>
        <family val="2"/>
      </rPr>
      <t>, which contains critical information on sub-form fields and their differences relative to ResDAC's CMS data request materials.</t>
    </r>
  </si>
  <si>
    <t>You must have a data agreement with an NIA-funded study and LINKAGE data version information (i.e., Standard, Geographic, or Provider) from that NIA-funded study to request CMS research files through LINKAGE.</t>
  </si>
  <si>
    <t xml:space="preserve">If you do not have this information, work with the NIA-funded study to obtain it before completing this Form. </t>
  </si>
  <si>
    <t>Navigate to Research_Project_Info, review the tab form's instructions, and complete all required form fields.</t>
  </si>
  <si>
    <t>In each data tab, start with the category-level form fields, as they will auto-populate responses for individual files or variables.</t>
  </si>
  <si>
    <t>To effectively complete this form:</t>
  </si>
  <si>
    <r>
      <rPr>
        <sz val="11"/>
        <color rgb="FF262626"/>
        <rFont val="Segoe UI"/>
        <family val="2"/>
      </rPr>
      <t xml:space="preserve">Email valid NIA-funded study approval documentation, this Form, and all other file-based request forms for requesting CMS data through NIA to LINKAGE at </t>
    </r>
    <r>
      <rPr>
        <u/>
        <sz val="11"/>
        <color rgb="FF09597D"/>
        <rFont val="Segoe UI Semibold"/>
        <family val="2"/>
      </rPr>
      <t>support@linkagesupport.zendesk.com</t>
    </r>
    <r>
      <rPr>
        <sz val="11"/>
        <color rgb="FF262626"/>
        <rFont val="Segoe UI"/>
        <family val="2"/>
      </rPr>
      <t>.</t>
    </r>
  </si>
  <si>
    <t xml:space="preserve">Before completing this Request Form, review the data dictionary for the NIA-funded study whose study and CMS data sets you want to use in your research project. </t>
  </si>
  <si>
    <t>You can reach out to us to receive a copy of the dictionary.</t>
  </si>
  <si>
    <t>WARNING</t>
  </si>
  <si>
    <t xml:space="preserve">You may only request data for one NIA-funded study partner through this form. If you need data for multiple study partners, you must complete a separate Request Form for each study partner.  </t>
  </si>
  <si>
    <r>
      <rPr>
        <b/>
        <sz val="12"/>
        <color rgb="FF09597D"/>
        <rFont val="Segoe UI"/>
        <family val="2"/>
      </rPr>
      <t>NOTE 1</t>
    </r>
    <r>
      <rPr>
        <sz val="12"/>
        <color theme="1" tint="0.14996795556505021"/>
        <rFont val="Segoe UI"/>
        <family val="2"/>
      </rPr>
      <t>: In the Part D Drug Event (PDE) tab, you must complete variable category-based data requests and justifications.</t>
    </r>
  </si>
  <si>
    <r>
      <rPr>
        <b/>
        <sz val="12"/>
        <color rgb="FF09597D"/>
        <rFont val="Segoe UI"/>
        <family val="2"/>
      </rPr>
      <t>NOTE 2</t>
    </r>
    <r>
      <rPr>
        <sz val="12"/>
        <color theme="1" tint="0.14996795556505021"/>
        <rFont val="Segoe UI"/>
        <family val="2"/>
      </rPr>
      <t>: The variables in Inpatient Rehab Facility-Patient Assessment Instrument (IRF-PAI), Long-Term Care Minimum Data Set (MDS), Outcome and Assessment Information Set (OASIS) data vary across NIA-funded studies.</t>
    </r>
  </si>
  <si>
    <t>(2) LINKAGE's NIA-funded study partners who need to request linked-CMS data files for research purposes.</t>
  </si>
  <si>
    <t xml:space="preserve">This form is for: </t>
  </si>
  <si>
    <t xml:space="preserve">(1) NIA-funded and non-NIA funded research studies who need to request linked-CMS data files from LINKAGE's NIA-funded study partners; and </t>
  </si>
  <si>
    <t xml:space="preserve">Updated RADC study data years. </t>
  </si>
  <si>
    <t>The Research_Project_Info tab collects information on your research project, including your research project title, Principal Investigator, and contact information as well as which analytic software (e.g., R, SAS, or Stata) your team will need in the LINKAGE Enclave.</t>
  </si>
  <si>
    <t>To complete this Form, you'll need your research project title, Principal Investigator's full name, a Point of Contact's information, and a sense of which analytic software (e.g., R, SAS, and/or Stata) members of your team will need to use in the LINKAGE Enclave.</t>
  </si>
  <si>
    <t>NIA STUDY INSTITUTE PARTNER
Select the NIA-funded study whose CMS data you want to request.</t>
  </si>
  <si>
    <t>LINKAGE ENCLAVE: ANALYTIC SOFTWARE OPTIONS</t>
  </si>
  <si>
    <r>
      <t xml:space="preserve">SAS OR STATA
</t>
    </r>
    <r>
      <rPr>
        <i/>
        <sz val="11"/>
        <color theme="1" tint="0.24994659260841701"/>
        <rFont val="Segoe UI"/>
        <family val="2"/>
      </rPr>
      <t>In addition to or instead of R, NIA permits your team to access and use either SAS or Stata in the LINKAGE Enclave. If your team needs to use SAS or Stata to conduct your research project, select either the SAS or Stata radio button.</t>
    </r>
  </si>
  <si>
    <t>In the Research_Project_Info Tab section, added references to the analytic software options in the Research_Project_Info Tab.
Edited the tabs introduction.</t>
  </si>
  <si>
    <t xml:space="preserve">Navigate to each data tab relevant to your research project, reviewing its instructions carefully. </t>
  </si>
  <si>
    <t xml:space="preserve">Updated Part C data years. </t>
  </si>
  <si>
    <t>Request Part D Drug Event (PDE) data variables (if available through the NIA-funded study).</t>
  </si>
  <si>
    <t>1. REQUEST OASIS DATA?</t>
  </si>
  <si>
    <t>1. REQUEST IRF-PAI  DATA?</t>
  </si>
  <si>
    <t>1. REQUEST HEDIS DATA?</t>
  </si>
  <si>
    <t>1. REQUEST MDS DATA?</t>
  </si>
  <si>
    <t xml:space="preserve">Updated HRS study data years. </t>
  </si>
  <si>
    <t xml:space="preserve">If you need Medicaid enrollment data for your research project, complete form fields in numerical order (1, 2, 3, 4, and 5), as not doing so will break the tab's auto-populated formulas. Then, review the auto-populated content and edit if needed.
</t>
  </si>
  <si>
    <t>Updated MedPAR, MBSF-CC, MBSF-CU and MBSF-Other available data years from 2021 to 2022.</t>
  </si>
  <si>
    <t>Python</t>
  </si>
  <si>
    <r>
      <t xml:space="preserve">PYTHON OR R
</t>
    </r>
    <r>
      <rPr>
        <i/>
        <sz val="11"/>
        <color theme="1" tint="0.24994659260841701"/>
        <rFont val="Segoe UI"/>
        <family val="2"/>
      </rPr>
      <t>If your team needs to use Python or R to conduct your research project, select the Python or R check box.</t>
    </r>
  </si>
  <si>
    <t>Added Python software option.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</si>
</sst>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43" formatCode="_(* #,##0.00_);_(* \(#,##0.00\);_(* &quot;-&quot;??_);_(@_)"/>
    <numFmt numFmtId="164" formatCode="####\-###"/>
    <numFmt numFmtId="165" formatCode="[&lt;=9999999]###\-####;\(###\)\ ###\-####"/>
  </numFmts>
  <fonts count="98" x14ac:knownFonts="1">
    <font>
      <sz val="12"/>
      <name val="Segoe UI"/>
      <family val="2"/>
    </font>
    <font>
      <sz val="11"/>
      <color theme="1"/>
      <name val="Calibri"/>
      <family val="2"/>
      <scheme val="minor"/>
    </font>
    <font>
      <sz val="11"/>
      <color theme="1"/>
      <name val="Calibri"/>
      <family val="2"/>
      <scheme val="minor"/>
    </font>
    <font>
      <i/>
      <sz val="10"/>
      <color theme="1" tint="0.24994659260841701"/>
      <name val="Lucida Bright"/>
      <family val="1"/>
    </font>
    <font>
      <u/>
      <sz val="11"/>
      <color rgb="FFA96D2B"/>
      <name val="Franklin Gothic Book"/>
      <family val="2"/>
    </font>
    <font>
      <sz val="16"/>
      <color theme="1"/>
      <name val="Franklin Gothic Book"/>
      <family val="2"/>
    </font>
    <font>
      <sz val="16"/>
      <color rgb="FFFF0000"/>
      <name val="Franklin Gothic Book"/>
      <family val="2"/>
    </font>
    <font>
      <sz val="15"/>
      <color theme="1" tint="0.24994659260841701"/>
      <name val="Franklin Gothic Book"/>
      <family val="2"/>
    </font>
    <font>
      <b/>
      <sz val="20"/>
      <color theme="0"/>
      <name val="Segoe UI"/>
      <family val="2"/>
    </font>
    <font>
      <sz val="10"/>
      <color theme="0"/>
      <name val="Segoe UI"/>
      <family val="2"/>
    </font>
    <font>
      <u/>
      <sz val="12"/>
      <color rgb="FF4A5A74"/>
      <name val="Franklin Gothic Book"/>
      <family val="2"/>
    </font>
    <font>
      <sz val="12"/>
      <name val="Segoe UI"/>
      <family val="2"/>
    </font>
    <font>
      <sz val="12"/>
      <color theme="1" tint="0.14993743705557422"/>
      <name val="Segoe UI"/>
      <family val="2"/>
    </font>
    <font>
      <sz val="11"/>
      <color theme="1" tint="0.24994659260841701"/>
      <name val="Segoe UI"/>
      <family val="2"/>
    </font>
    <font>
      <sz val="11"/>
      <color theme="1"/>
      <name val="Segoe UI Semibold"/>
      <family val="2"/>
    </font>
    <font>
      <sz val="11"/>
      <color theme="0"/>
      <name val="Segoe UI Semibold"/>
      <family val="2"/>
    </font>
    <font>
      <sz val="12"/>
      <color theme="1" tint="0.24994659260841701"/>
      <name val="Franklin Gothic Book"/>
      <family val="2"/>
    </font>
    <font>
      <sz val="11"/>
      <name val="Segoe UI Semibold"/>
      <family val="2"/>
    </font>
    <font>
      <u/>
      <sz val="11"/>
      <color rgb="FFA96D2B"/>
      <name val="Segoe UI Semibold"/>
      <family val="2"/>
    </font>
    <font>
      <sz val="12"/>
      <color theme="1" tint="0.14990691854609822"/>
      <name val="Segoe UI Semibold"/>
      <family val="2"/>
    </font>
    <font>
      <i/>
      <sz val="11"/>
      <color theme="1" tint="0.24994659260841701"/>
      <name val="Segoe UI"/>
      <family val="2"/>
    </font>
    <font>
      <sz val="11"/>
      <color rgb="FF7E542A"/>
      <name val="Segoe UI Semibold"/>
      <family val="2"/>
    </font>
    <font>
      <sz val="12"/>
      <color theme="0"/>
      <name val="Segoe UI"/>
      <family val="2"/>
    </font>
    <font>
      <sz val="11"/>
      <color rgb="FF262626"/>
      <name val="Segoe UI"/>
      <family val="2"/>
    </font>
    <font>
      <sz val="12"/>
      <color rgb="FF262626"/>
      <name val="Segoe UI"/>
      <family val="2"/>
    </font>
    <font>
      <sz val="12"/>
      <color rgb="FF262626"/>
      <name val="Segoe UI Semibold"/>
      <family val="2"/>
    </font>
    <font>
      <sz val="11"/>
      <color rgb="FF404040"/>
      <name val="Segoe UI"/>
      <family val="2"/>
    </font>
    <font>
      <b/>
      <sz val="16"/>
      <color theme="0"/>
      <name val="Segoe UI"/>
      <family val="2"/>
    </font>
    <font>
      <sz val="12"/>
      <name val="Segoe UI Semibold"/>
      <family val="2"/>
    </font>
    <font>
      <i/>
      <sz val="11"/>
      <color rgb="FF404040"/>
      <name val="Segoe UI Semibold"/>
      <family val="2"/>
    </font>
    <font>
      <sz val="14"/>
      <color theme="1" tint="0.1498764000366222"/>
      <name val="Segoe UI Semibold"/>
      <family val="2"/>
    </font>
    <font>
      <sz val="11"/>
      <color theme="1" tint="0.24994659260841701"/>
      <name val="Segoe UI Semibold"/>
      <family val="2"/>
    </font>
    <font>
      <sz val="10"/>
      <color theme="0"/>
      <name val="Franklin Gothic Medium"/>
      <family val="2"/>
    </font>
    <font>
      <sz val="12"/>
      <name val="Calibri"/>
      <family val="2"/>
      <scheme val="minor"/>
    </font>
    <font>
      <sz val="12"/>
      <color theme="1" tint="0.14993743705557422"/>
      <name val="Calibri"/>
      <family val="2"/>
      <scheme val="minor"/>
    </font>
    <font>
      <sz val="12"/>
      <color rgb="FF09597D"/>
      <name val="Calibri"/>
      <family val="2"/>
      <scheme val="minor"/>
    </font>
    <font>
      <sz val="11"/>
      <color theme="1" tint="0.34998626667073579"/>
      <name val="Calibri"/>
      <family val="2"/>
      <scheme val="minor"/>
    </font>
    <font>
      <sz val="11"/>
      <color theme="1" tint="0.14993743705557422"/>
      <name val="Calibri"/>
      <family val="2"/>
      <scheme val="minor"/>
    </font>
    <font>
      <sz val="10"/>
      <color rgb="FFF0F0F0"/>
      <name val="Segoe UI"/>
      <family val="2"/>
    </font>
    <font>
      <sz val="12"/>
      <color theme="1" tint="0.14996795556505021"/>
      <name val="Segoe UI"/>
      <family val="2"/>
    </font>
    <font>
      <b/>
      <sz val="18"/>
      <color rgb="FF09597D"/>
      <name val="Segoe UI"/>
      <family val="2"/>
    </font>
    <font>
      <sz val="11"/>
      <color theme="1"/>
      <name val="Segoe UI"/>
      <family val="2"/>
    </font>
    <font>
      <u/>
      <sz val="11"/>
      <color rgb="FF09597D"/>
      <name val="Segoe UI"/>
      <family val="2"/>
    </font>
    <font>
      <i/>
      <sz val="11"/>
      <color theme="1"/>
      <name val="Segoe UI"/>
      <family val="2"/>
    </font>
    <font>
      <u/>
      <sz val="11"/>
      <color rgb="FFA96D2B"/>
      <name val="Segoe UI"/>
      <family val="2"/>
    </font>
    <font>
      <sz val="11"/>
      <name val="Segoe UI"/>
      <family val="2"/>
    </font>
    <font>
      <b/>
      <sz val="11"/>
      <name val="Segoe UI"/>
      <family val="2"/>
    </font>
    <font>
      <i/>
      <sz val="11"/>
      <color rgb="FF262626"/>
      <name val="Segoe UI"/>
      <family val="2"/>
    </font>
    <font>
      <sz val="9"/>
      <color theme="0" tint="-0.34998626667073579"/>
      <name val="Segoe UI"/>
      <family val="2"/>
    </font>
    <font>
      <b/>
      <sz val="12"/>
      <name val="Segoe UI"/>
      <family val="2"/>
    </font>
    <font>
      <sz val="12"/>
      <color theme="1" tint="0.14999847407452621"/>
      <name val="Segoe UI"/>
      <family val="2"/>
    </font>
    <font>
      <sz val="10"/>
      <color theme="1" tint="0.24994659260841701"/>
      <name val="Segoe UI"/>
      <family val="2"/>
    </font>
    <font>
      <i/>
      <sz val="11"/>
      <name val="Segoe UI"/>
      <family val="2"/>
    </font>
    <font>
      <sz val="14"/>
      <color theme="1" tint="0.1498764000366222"/>
      <name val="Segoe UI"/>
      <family val="2"/>
    </font>
    <font>
      <sz val="12"/>
      <color rgb="FF7E542A"/>
      <name val="Segoe UI"/>
      <family val="2"/>
    </font>
    <font>
      <sz val="12"/>
      <color rgb="FF09597D"/>
      <name val="Segoe UI"/>
      <family val="2"/>
    </font>
    <font>
      <b/>
      <sz val="12"/>
      <color theme="1"/>
      <name val="Segoe UI"/>
      <family val="2"/>
    </font>
    <font>
      <sz val="11"/>
      <color theme="1" tint="0.14996795556505021"/>
      <name val="Segoe UI"/>
      <family val="2"/>
    </font>
    <font>
      <u/>
      <sz val="12"/>
      <color rgb="FFA96D2B"/>
      <name val="Segoe UI"/>
      <family val="2"/>
    </font>
    <font>
      <u/>
      <sz val="12"/>
      <color rgb="FF09597D"/>
      <name val="Segoe UI"/>
      <family val="2"/>
    </font>
    <font>
      <b/>
      <sz val="16"/>
      <color rgb="FF09597D"/>
      <name val="Segoe UI"/>
      <family val="2"/>
    </font>
    <font>
      <b/>
      <sz val="16"/>
      <color rgb="FFA16B35"/>
      <name val="Segoe UI"/>
      <family val="2"/>
    </font>
    <font>
      <b/>
      <sz val="11"/>
      <color theme="1"/>
      <name val="Segoe UI"/>
      <family val="2"/>
    </font>
    <font>
      <i/>
      <sz val="11"/>
      <color rgb="FF404040"/>
      <name val="Segoe UI"/>
      <family val="2"/>
    </font>
    <font>
      <sz val="11"/>
      <color rgb="FF09597D"/>
      <name val="Segoe UI"/>
      <family val="2"/>
    </font>
    <font>
      <sz val="11"/>
      <color theme="1" tint="0.249977111117893"/>
      <name val="Segoe UI"/>
      <family val="2"/>
    </font>
    <font>
      <sz val="11"/>
      <color theme="0"/>
      <name val="Segoe UI"/>
      <family val="2"/>
    </font>
    <font>
      <i/>
      <sz val="10"/>
      <color rgb="FF404040"/>
      <name val="Segoe UI"/>
      <family val="2"/>
    </font>
    <font>
      <sz val="10"/>
      <color rgb="FFFBF5EE"/>
      <name val="Segoe UI"/>
      <family val="2"/>
    </font>
    <font>
      <sz val="12"/>
      <color rgb="FFC00000"/>
      <name val="Segoe UI"/>
      <family val="2"/>
    </font>
    <font>
      <b/>
      <sz val="11"/>
      <color theme="0"/>
      <name val="Segoe UI"/>
      <family val="2"/>
    </font>
    <font>
      <b/>
      <sz val="11"/>
      <color theme="1" tint="0.249977111117893"/>
      <name val="Segoe UI"/>
      <family val="2"/>
    </font>
    <font>
      <b/>
      <i/>
      <sz val="11"/>
      <color theme="1" tint="0.34998626667073579"/>
      <name val="Segoe UI"/>
      <family val="2"/>
    </font>
    <font>
      <sz val="12"/>
      <color theme="1" tint="0.249977111117893"/>
      <name val="Segoe UI"/>
      <family val="2"/>
    </font>
    <font>
      <sz val="11"/>
      <color theme="1" tint="0.34998626667073579"/>
      <name val="Segoe UI"/>
      <family val="2"/>
    </font>
    <font>
      <sz val="11"/>
      <color theme="1" tint="0.14999847407452621"/>
      <name val="Segoe UI"/>
      <family val="2"/>
    </font>
    <font>
      <i/>
      <sz val="10"/>
      <color theme="1"/>
      <name val="Segoe UI"/>
      <family val="2"/>
    </font>
    <font>
      <b/>
      <i/>
      <sz val="10"/>
      <color theme="1"/>
      <name val="Segoe UI"/>
      <family val="2"/>
    </font>
    <font>
      <sz val="10"/>
      <color theme="1"/>
      <name val="Segoe UI"/>
      <family val="2"/>
    </font>
    <font>
      <b/>
      <i/>
      <sz val="10"/>
      <color theme="1" tint="0.34998626667073579"/>
      <name val="Segoe UI"/>
      <family val="2"/>
    </font>
    <font>
      <sz val="10"/>
      <color theme="1" tint="0.249977111117893"/>
      <name val="Segoe UI"/>
      <family val="2"/>
    </font>
    <font>
      <i/>
      <sz val="12"/>
      <color rgb="FF262626"/>
      <name val="Segoe UI"/>
      <family val="2"/>
    </font>
    <font>
      <i/>
      <sz val="12"/>
      <color theme="1" tint="0.14996795556505021"/>
      <name val="Segoe UI"/>
      <family val="2"/>
    </font>
    <font>
      <sz val="12"/>
      <color rgb="FF404040"/>
      <name val="Segoe UI"/>
      <family val="2"/>
    </font>
    <font>
      <sz val="10"/>
      <color theme="0" tint="-0.34998626667073579"/>
      <name val="Segoe UI"/>
      <family val="2"/>
    </font>
    <font>
      <u/>
      <sz val="12"/>
      <color rgb="FF262626"/>
      <name val="Segoe UI"/>
      <family val="2"/>
    </font>
    <font>
      <u/>
      <sz val="11"/>
      <color rgb="FF09597D"/>
      <name val="Segoe UI Semibold"/>
      <family val="2"/>
    </font>
    <font>
      <b/>
      <sz val="12"/>
      <color theme="1" tint="0.14993743705557422"/>
      <name val="Segoe UI"/>
      <family val="2"/>
    </font>
    <font>
      <sz val="9"/>
      <color theme="1" tint="0.249977111117893"/>
      <name val="Segoe UI"/>
      <family val="2"/>
    </font>
    <font>
      <b/>
      <sz val="12"/>
      <color rgb="FF09597D"/>
      <name val="Segoe UI"/>
      <family val="2"/>
    </font>
    <font>
      <b/>
      <u/>
      <sz val="12"/>
      <color rgb="FF09597D"/>
      <name val="Segoe UI"/>
      <family val="2"/>
    </font>
    <font>
      <sz val="12"/>
      <color rgb="FFA96D2B"/>
      <name val="Segoe UI"/>
      <family val="2"/>
    </font>
    <font>
      <b/>
      <sz val="12"/>
      <color rgb="FFA96D2B"/>
      <name val="Segoe UI"/>
      <family val="2"/>
    </font>
    <font>
      <sz val="12"/>
      <color theme="0"/>
      <name val="Segoe UI Semibold"/>
      <family val="2"/>
    </font>
    <font>
      <sz val="9"/>
      <color theme="1" tint="0.14996795556505021"/>
      <name val="Segoe UI"/>
      <family val="2"/>
    </font>
    <font>
      <b/>
      <sz val="12"/>
      <color theme="1" tint="0.14996795556505021"/>
      <name val="Segoe UI"/>
      <family val="2"/>
    </font>
    <font>
      <b/>
      <sz val="12"/>
      <color rgb="FF262626"/>
      <name val="Segoe UI"/>
      <family val="2"/>
    </font>
    <font>
      <b/>
      <sz val="18"/>
      <color theme="0"/>
      <name val="Segoe UI"/>
      <family val="2"/>
    </font>
  </fonts>
  <fills count="21">
    <fill>
      <patternFill patternType="none"/>
    </fill>
    <fill>
      <patternFill patternType="gray125"/>
    </fill>
    <fill>
      <patternFill patternType="solid">
        <fgColor theme="0" tint="-4.9989318521683403E-2"/>
        <bgColor indexed="64"/>
      </patternFill>
    </fill>
    <fill>
      <gradientFill degree="90">
        <stop position="0">
          <color theme="0"/>
        </stop>
        <stop position="1">
          <color theme="0" tint="-5.0965910824915313E-2"/>
        </stop>
      </gradientFill>
    </fill>
    <fill>
      <patternFill patternType="solid">
        <fgColor theme="0"/>
        <bgColor indexed="64"/>
      </patternFill>
    </fill>
    <fill>
      <patternFill patternType="solid">
        <fgColor theme="0" tint="-0.14999847407452621"/>
        <bgColor indexed="64"/>
      </patternFill>
    </fill>
    <fill>
      <patternFill patternType="solid">
        <fgColor theme="1" tint="0.249977111117893"/>
        <bgColor indexed="64"/>
      </patternFill>
    </fill>
    <fill>
      <patternFill patternType="solid">
        <fgColor theme="2"/>
        <bgColor indexed="64"/>
      </patternFill>
    </fill>
    <fill>
      <patternFill patternType="solid">
        <fgColor theme="0"/>
        <bgColor auto="1"/>
      </patternFill>
    </fill>
    <fill>
      <patternFill patternType="solid">
        <fgColor rgb="FFEAEAEA"/>
        <bgColor indexed="64"/>
      </patternFill>
    </fill>
    <fill>
      <patternFill patternType="solid">
        <fgColor rgb="FF7E542A"/>
        <bgColor indexed="64"/>
      </patternFill>
    </fill>
    <fill>
      <patternFill patternType="solid">
        <fgColor rgb="FFDCCFBE"/>
        <bgColor indexed="64"/>
      </patternFill>
    </fill>
    <fill>
      <patternFill patternType="solid">
        <fgColor rgb="FFF5F5F5"/>
        <bgColor indexed="64"/>
      </patternFill>
    </fill>
    <fill>
      <patternFill patternType="solid">
        <fgColor theme="1"/>
        <bgColor indexed="64"/>
      </patternFill>
    </fill>
    <fill>
      <patternFill patternType="solid">
        <fgColor rgb="FF7E542A"/>
        <bgColor rgb="FF7E542A"/>
      </patternFill>
    </fill>
    <fill>
      <patternFill patternType="solid">
        <fgColor rgb="FF81562B"/>
        <bgColor rgb="FF7E542A"/>
      </patternFill>
    </fill>
    <fill>
      <patternFill patternType="solid">
        <fgColor theme="9" tint="-0.24994659260841701"/>
        <bgColor indexed="64"/>
      </patternFill>
    </fill>
    <fill>
      <patternFill patternType="solid">
        <fgColor indexed="52"/>
      </patternFill>
    </fill>
    <fill>
      <patternFill patternType="solid">
        <fgColor rgb="FF09597D"/>
        <bgColor indexed="64"/>
      </patternFill>
    </fill>
    <fill>
      <patternFill patternType="solid">
        <fgColor rgb="FF09597D"/>
        <bgColor rgb="FF7E542A"/>
      </patternFill>
    </fill>
    <fill>
      <patternFill patternType="solid">
        <fgColor rgb="FFCDDEE5"/>
        <bgColor indexed="64"/>
      </patternFill>
    </fill>
  </fills>
  <borders count="95">
    <border>
      <left/>
      <right/>
      <top/>
      <bottom/>
      <diagonal/>
    </border>
    <border>
      <left style="thin">
        <color theme="1" tint="0.34998626667073579"/>
      </left>
      <right/>
      <top style="thin">
        <color theme="1" tint="0.34998626667073579"/>
      </top>
      <bottom style="thin">
        <color theme="1" tint="0.34998626667073579"/>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style="thin">
        <color theme="0" tint="-0.24994659260841701"/>
      </right>
      <top/>
      <bottom/>
      <diagonal/>
    </border>
    <border>
      <left style="thin">
        <color theme="0" tint="-0.24994659260841701"/>
      </left>
      <right/>
      <top/>
      <bottom/>
      <diagonal/>
    </border>
    <border>
      <left style="thin">
        <color theme="0" tint="-0.24994659260841701"/>
      </left>
      <right/>
      <top style="thin">
        <color theme="0" tint="-0.24994659260841701"/>
      </top>
      <bottom/>
      <diagonal/>
    </border>
    <border>
      <left/>
      <right/>
      <top/>
      <bottom style="thin">
        <color theme="0" tint="-0.24994659260841701"/>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top style="thin">
        <color theme="0" tint="-0.34998626667073579"/>
      </top>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
      <left style="thin">
        <color theme="0" tint="-0.14993743705557422"/>
      </left>
      <right/>
      <top style="thin">
        <color theme="0" tint="-0.14993743705557422"/>
      </top>
      <bottom style="thin">
        <color theme="0" tint="-0.14993743705557422"/>
      </bottom>
      <diagonal/>
    </border>
    <border>
      <left style="thin">
        <color auto="1"/>
      </left>
      <right style="thin">
        <color auto="1"/>
      </right>
      <top style="thin">
        <color auto="1"/>
      </top>
      <bottom style="thin">
        <color auto="1"/>
      </bottom>
      <diagonal/>
    </border>
    <border>
      <left/>
      <right style="thin">
        <color theme="0" tint="-0.24994659260841701"/>
      </right>
      <top/>
      <bottom style="thin">
        <color theme="0" tint="-0.24994659260841701"/>
      </bottom>
      <diagonal/>
    </border>
    <border>
      <left style="thin">
        <color theme="0" tint="-0.24994659260841701"/>
      </left>
      <right/>
      <top/>
      <bottom style="thin">
        <color theme="0" tint="-0.24994659260841701"/>
      </bottom>
      <diagonal/>
    </border>
    <border>
      <left/>
      <right/>
      <top/>
      <bottom style="thin">
        <color theme="2" tint="-0.24994659260841701"/>
      </bottom>
      <diagonal/>
    </border>
    <border>
      <left style="thin">
        <color theme="0" tint="-0.14993743705557422"/>
      </left>
      <right/>
      <top style="thin">
        <color theme="0" tint="-0.14993743705557422"/>
      </top>
      <bottom/>
      <diagonal/>
    </border>
    <border>
      <left style="thin">
        <color theme="0" tint="-0.34998626667073579"/>
      </left>
      <right/>
      <top/>
      <bottom style="thin">
        <color theme="0" tint="-0.34998626667073579"/>
      </bottom>
      <diagonal/>
    </border>
    <border>
      <left/>
      <right/>
      <top style="thin">
        <color theme="0"/>
      </top>
      <bottom/>
      <diagonal/>
    </border>
    <border>
      <left/>
      <right/>
      <top style="thin">
        <color theme="0" tint="-0.34998626667073579"/>
      </top>
      <bottom/>
      <diagonal/>
    </border>
    <border>
      <left style="thin">
        <color theme="0"/>
      </left>
      <right/>
      <top/>
      <bottom style="thin">
        <color theme="0"/>
      </bottom>
      <diagonal/>
    </border>
    <border>
      <left style="thin">
        <color theme="0" tint="-0.24994659260841701"/>
      </left>
      <right style="thin">
        <color theme="0" tint="-0.24994659260841701"/>
      </right>
      <top/>
      <bottom style="thin">
        <color theme="0" tint="-0.24994659260841701"/>
      </bottom>
      <diagonal/>
    </border>
    <border>
      <left style="thin">
        <color theme="0" tint="-0.249977111117893"/>
      </left>
      <right style="thin">
        <color theme="0" tint="-0.249977111117893"/>
      </right>
      <top style="thin">
        <color theme="0" tint="-0.249977111117893"/>
      </top>
      <bottom style="thin">
        <color theme="0" tint="-0.14993743705557422"/>
      </bottom>
      <diagonal/>
    </border>
    <border>
      <left style="thin">
        <color theme="0" tint="-0.249977111117893"/>
      </left>
      <right style="thin">
        <color theme="0" tint="-0.249977111117893"/>
      </right>
      <top style="thin">
        <color theme="0" tint="-0.14993743705557422"/>
      </top>
      <bottom style="thin">
        <color theme="0" tint="-0.14993743705557422"/>
      </bottom>
      <diagonal/>
    </border>
    <border>
      <left style="thin">
        <color theme="0" tint="-0.249977111117893"/>
      </left>
      <right style="thin">
        <color theme="0" tint="-0.249977111117893"/>
      </right>
      <top style="thin">
        <color theme="0" tint="-0.14993743705557422"/>
      </top>
      <bottom style="thin">
        <color theme="0" tint="-0.249977111117893"/>
      </bottom>
      <diagonal/>
    </border>
    <border>
      <left style="thin">
        <color theme="0" tint="-0.14999847407452621"/>
      </left>
      <right/>
      <top style="thin">
        <color theme="0" tint="-0.14999847407452621"/>
      </top>
      <bottom style="thin">
        <color theme="0" tint="-0.14999847407452621"/>
      </bottom>
      <diagonal/>
    </border>
    <border>
      <left/>
      <right/>
      <top style="thin">
        <color theme="0" tint="-0.249977111117893"/>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34998626667073579"/>
      </right>
      <top style="thin">
        <color theme="0" tint="-0.34998626667073579"/>
      </top>
      <bottom/>
      <diagonal/>
    </border>
    <border>
      <left/>
      <right/>
      <top style="thin">
        <color theme="0" tint="-0.34998626667073579"/>
      </top>
      <bottom style="thin">
        <color rgb="FFA16B35"/>
      </bottom>
      <diagonal/>
    </border>
    <border>
      <left style="medium">
        <color rgb="FF7E542A"/>
      </left>
      <right style="medium">
        <color rgb="FF7E542A"/>
      </right>
      <top style="medium">
        <color rgb="FF7E542A"/>
      </top>
      <bottom style="medium">
        <color rgb="FF7E542A"/>
      </bottom>
      <diagonal/>
    </border>
    <border>
      <left style="thin">
        <color theme="0" tint="-0.34998626667073579"/>
      </left>
      <right/>
      <top/>
      <bottom/>
      <diagonal/>
    </border>
    <border>
      <left/>
      <right style="thin">
        <color theme="0" tint="-0.34998626667073579"/>
      </right>
      <top/>
      <bottom style="thin">
        <color theme="0" tint="-0.34998626667073579"/>
      </bottom>
      <diagonal/>
    </border>
    <border>
      <left style="thin">
        <color theme="0" tint="-0.24994659260841701"/>
      </left>
      <right/>
      <top style="medium">
        <color rgb="FF7E542A"/>
      </top>
      <bottom/>
      <diagonal/>
    </border>
    <border>
      <left/>
      <right style="thin">
        <color theme="0" tint="-0.249977111117893"/>
      </right>
      <top/>
      <bottom/>
      <diagonal/>
    </border>
    <border>
      <left style="thin">
        <color theme="0"/>
      </left>
      <right/>
      <top/>
      <bottom style="thin">
        <color theme="0" tint="-0.34998626667073579"/>
      </bottom>
      <diagonal/>
    </border>
    <border>
      <left/>
      <right/>
      <top style="thin">
        <color theme="0" tint="-0.34998626667073579"/>
      </top>
      <bottom style="thin">
        <color theme="0" tint="-0.249977111117893"/>
      </bottom>
      <diagonal/>
    </border>
    <border>
      <left/>
      <right style="thin">
        <color theme="0" tint="-0.34998626667073579"/>
      </right>
      <top/>
      <bottom/>
      <diagonal/>
    </border>
    <border>
      <left/>
      <right style="thin">
        <color theme="0" tint="-0.249977111117893"/>
      </right>
      <top style="thin">
        <color theme="0" tint="-0.24994659260841701"/>
      </top>
      <bottom style="thin">
        <color theme="0" tint="-0.24994659260841701"/>
      </bottom>
      <diagonal/>
    </border>
    <border>
      <left style="thin">
        <color theme="0"/>
      </left>
      <right/>
      <top/>
      <bottom style="thin">
        <color theme="0" tint="-0.24994659260841701"/>
      </bottom>
      <diagonal/>
    </border>
    <border>
      <left/>
      <right/>
      <top style="thin">
        <color theme="0" tint="-0.34998626667073579"/>
      </top>
      <bottom style="thin">
        <color theme="0" tint="-0.24994659260841701"/>
      </bottom>
      <diagonal/>
    </border>
    <border>
      <left/>
      <right/>
      <top/>
      <bottom style="thin">
        <color theme="0" tint="-0.249977111117893"/>
      </bottom>
      <diagonal/>
    </border>
    <border>
      <left style="thin">
        <color theme="0" tint="-0.34998626667073579"/>
      </left>
      <right style="thin">
        <color theme="0" tint="-0.249977111117893"/>
      </right>
      <top/>
      <bottom/>
      <diagonal/>
    </border>
    <border>
      <left/>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249977111117893"/>
      </bottom>
      <diagonal/>
    </border>
    <border>
      <left style="thin">
        <color theme="0" tint="-0.34998626667073579"/>
      </left>
      <right style="thin">
        <color theme="0" tint="-0.249977111117893"/>
      </right>
      <top style="thin">
        <color theme="0" tint="-0.34998626667073579"/>
      </top>
      <bottom style="thin">
        <color theme="0" tint="-0.249977111117893"/>
      </bottom>
      <diagonal/>
    </border>
    <border>
      <left style="thin">
        <color theme="0" tint="-0.24994659260841701"/>
      </left>
      <right style="thin">
        <color theme="0" tint="-0.24994659260841701"/>
      </right>
      <top style="medium">
        <color rgb="FF7E542A"/>
      </top>
      <bottom style="thin">
        <color theme="0" tint="-0.24994659260841701"/>
      </bottom>
      <diagonal/>
    </border>
    <border>
      <left/>
      <right style="thin">
        <color theme="0" tint="-0.249977111117893"/>
      </right>
      <top/>
      <bottom style="thin">
        <color theme="0" tint="-0.34998626667073579"/>
      </bottom>
      <diagonal/>
    </border>
    <border>
      <left/>
      <right style="thin">
        <color theme="0" tint="-0.249977111117893"/>
      </right>
      <top style="thin">
        <color theme="0" tint="-0.34998626667073579"/>
      </top>
      <bottom/>
      <diagonal/>
    </border>
    <border>
      <left style="medium">
        <color theme="0" tint="-0.34998626667073579"/>
      </left>
      <right style="medium">
        <color theme="0" tint="-0.34998626667073579"/>
      </right>
      <top style="medium">
        <color theme="0" tint="-0.34998626667073579"/>
      </top>
      <bottom style="medium">
        <color theme="0" tint="-0.34998626667073579"/>
      </bottom>
      <diagonal/>
    </border>
    <border>
      <left style="thin">
        <color theme="0" tint="-0.24994659260841701"/>
      </left>
      <right/>
      <top style="thin">
        <color theme="0" tint="-0.24994659260841701"/>
      </top>
      <bottom style="thin">
        <color theme="1" tint="0.499984740745262"/>
      </bottom>
      <diagonal/>
    </border>
    <border>
      <left style="thin">
        <color theme="0" tint="-0.34998626667073579"/>
      </left>
      <right style="thin">
        <color theme="0" tint="-0.34998626667073579"/>
      </right>
      <top/>
      <bottom style="thin">
        <color theme="0" tint="-0.499984740745262"/>
      </bottom>
      <diagonal/>
    </border>
    <border>
      <left style="thin">
        <color theme="0" tint="-0.34998626667073579"/>
      </left>
      <right/>
      <top style="thin">
        <color theme="0" tint="-0.249977111117893"/>
      </top>
      <bottom/>
      <diagonal/>
    </border>
    <border>
      <left/>
      <right style="thin">
        <color theme="0" tint="-0.249977111117893"/>
      </right>
      <top style="thin">
        <color theme="0" tint="-0.249977111117893"/>
      </top>
      <bottom/>
      <diagonal/>
    </border>
    <border>
      <left style="thin">
        <color theme="0" tint="-0.34998626667073579"/>
      </left>
      <right/>
      <top style="thin">
        <color theme="0" tint="-0.34998626667073579"/>
      </top>
      <bottom style="thin">
        <color theme="0" tint="-0.249977111117893"/>
      </bottom>
      <diagonal/>
    </border>
    <border>
      <left style="thin">
        <color theme="0" tint="-0.24994659260841701"/>
      </left>
      <right/>
      <top style="thin">
        <color theme="0" tint="-0.24994659260841701"/>
      </top>
      <bottom style="thin">
        <color theme="0" tint="-0.34998626667073579"/>
      </bottom>
      <diagonal/>
    </border>
    <border>
      <left/>
      <right/>
      <top style="thin">
        <color theme="0" tint="-0.24994659260841701"/>
      </top>
      <bottom style="thin">
        <color theme="0" tint="-0.34998626667073579"/>
      </bottom>
      <diagonal/>
    </border>
    <border>
      <left/>
      <right/>
      <top style="thin">
        <color theme="0" tint="-0.24994659260841701"/>
      </top>
      <bottom style="thin">
        <color theme="1" tint="0.499984740745262"/>
      </bottom>
      <diagonal/>
    </border>
    <border>
      <left/>
      <right style="thin">
        <color theme="0"/>
      </right>
      <top/>
      <bottom style="thin">
        <color theme="0" tint="-0.24994659260841701"/>
      </bottom>
      <diagonal/>
    </border>
    <border>
      <left style="thin">
        <color theme="0" tint="-0.24994659260841701"/>
      </left>
      <right style="thin">
        <color theme="0" tint="-0.34998626667073579"/>
      </right>
      <top/>
      <bottom/>
      <diagonal/>
    </border>
    <border>
      <left style="thin">
        <color theme="0" tint="-0.24994659260841701"/>
      </left>
      <right style="thin">
        <color theme="0" tint="-0.249977111117893"/>
      </right>
      <top/>
      <bottom/>
      <diagonal/>
    </border>
    <border>
      <left style="thin">
        <color theme="0" tint="-0.249977111117893"/>
      </left>
      <right/>
      <top style="thin">
        <color theme="0" tint="-0.34998626667073579"/>
      </top>
      <bottom style="thin">
        <color theme="0" tint="-0.249977111117893"/>
      </bottom>
      <diagonal/>
    </border>
    <border>
      <left style="thin">
        <color theme="0" tint="-0.249977111117893"/>
      </left>
      <right style="thin">
        <color theme="0" tint="-0.249977111117893"/>
      </right>
      <top style="thin">
        <color theme="0" tint="-0.24994659260841701"/>
      </top>
      <bottom style="thin">
        <color theme="0" tint="-0.34998626667073579"/>
      </bottom>
      <diagonal/>
    </border>
    <border>
      <left/>
      <right/>
      <top style="thin">
        <color theme="1" tint="0.499984740745262"/>
      </top>
      <bottom/>
      <diagonal/>
    </border>
    <border>
      <left style="thin">
        <color theme="0" tint="-0.34998626667073579"/>
      </left>
      <right style="thin">
        <color theme="0" tint="-0.34998626667073579"/>
      </right>
      <top style="thin">
        <color theme="0" tint="-0.249977111117893"/>
      </top>
      <bottom style="thin">
        <color theme="0" tint="-0.249977111117893"/>
      </bottom>
      <diagonal/>
    </border>
    <border>
      <left style="thin">
        <color theme="0" tint="-0.34998626667073579"/>
      </left>
      <right style="thin">
        <color theme="0" tint="-0.34998626667073579"/>
      </right>
      <top/>
      <bottom style="thin">
        <color theme="0" tint="-0.249977111117893"/>
      </bottom>
      <diagonal/>
    </border>
    <border>
      <left style="thin">
        <color theme="0" tint="-0.34998626667073579"/>
      </left>
      <right style="thin">
        <color theme="0" tint="-0.249977111117893"/>
      </right>
      <top style="thin">
        <color theme="0" tint="-0.249977111117893"/>
      </top>
      <bottom style="thin">
        <color theme="0" tint="-0.249977111117893"/>
      </bottom>
      <diagonal/>
    </border>
    <border>
      <left style="medium">
        <color rgb="FF09597D"/>
      </left>
      <right style="medium">
        <color theme="0" tint="-0.34998626667073579"/>
      </right>
      <top style="medium">
        <color rgb="FF09597D"/>
      </top>
      <bottom style="medium">
        <color rgb="FF09597D"/>
      </bottom>
      <diagonal/>
    </border>
    <border>
      <left style="medium">
        <color theme="0" tint="-0.34998626667073579"/>
      </left>
      <right style="medium">
        <color theme="0" tint="-0.34998626667073579"/>
      </right>
      <top style="medium">
        <color rgb="FF09597D"/>
      </top>
      <bottom style="medium">
        <color rgb="FF09597D"/>
      </bottom>
      <diagonal/>
    </border>
    <border>
      <left style="medium">
        <color theme="0" tint="-0.34998626667073579"/>
      </left>
      <right style="medium">
        <color rgb="FF09597D"/>
      </right>
      <top style="medium">
        <color rgb="FF09597D"/>
      </top>
      <bottom style="medium">
        <color rgb="FF09597D"/>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34998626667073579"/>
      </left>
      <right style="thin">
        <color theme="0" tint="-0.34998626667073579"/>
      </right>
      <top style="thin">
        <color theme="0" tint="-0.34998626667073579"/>
      </top>
      <bottom style="thin">
        <color theme="0" tint="-0.24994659260841701"/>
      </bottom>
      <diagonal/>
    </border>
    <border>
      <left/>
      <right style="thin">
        <color theme="0" tint="-0.34998626667073579"/>
      </right>
      <top style="thin">
        <color theme="0" tint="-0.34998626667073579"/>
      </top>
      <bottom style="thin">
        <color theme="0" tint="-0.24994659260841701"/>
      </bottom>
      <diagonal/>
    </border>
    <border>
      <left/>
      <right/>
      <top style="thin">
        <color theme="0" tint="-0.24994659260841701"/>
      </top>
      <bottom/>
      <diagonal/>
    </border>
    <border>
      <left/>
      <right style="thin">
        <color theme="0"/>
      </right>
      <top/>
      <bottom/>
      <diagonal/>
    </border>
    <border>
      <left style="thin">
        <color theme="0"/>
      </left>
      <right style="thin">
        <color theme="0"/>
      </right>
      <top style="thin">
        <color theme="0" tint="-0.24994659260841701"/>
      </top>
      <bottom style="thin">
        <color theme="0"/>
      </bottom>
      <diagonal/>
    </border>
    <border>
      <left style="thin">
        <color theme="0" tint="-0.24994659260841701"/>
      </left>
      <right style="thin">
        <color theme="0" tint="-0.34998626667073579"/>
      </right>
      <top style="thin">
        <color theme="0" tint="-0.24994659260841701"/>
      </top>
      <bottom style="thin">
        <color theme="0" tint="-0.24994659260841701"/>
      </bottom>
      <diagonal/>
    </border>
    <border>
      <left style="thin">
        <color theme="0" tint="-0.24994659260841701"/>
      </left>
      <right style="thin">
        <color theme="0" tint="-0.34998626667073579"/>
      </right>
      <top style="thin">
        <color theme="0" tint="-0.24994659260841701"/>
      </top>
      <bottom style="thin">
        <color theme="0" tint="-0.34998626667073579"/>
      </bottom>
      <diagonal/>
    </border>
    <border>
      <left/>
      <right/>
      <top style="thin">
        <color theme="0" tint="-0.34998626667073579"/>
      </top>
      <bottom style="thin">
        <color theme="0"/>
      </bottom>
      <diagonal/>
    </border>
    <border>
      <left style="medium">
        <color rgb="FF09597D"/>
      </left>
      <right style="medium">
        <color rgb="FF09597D"/>
      </right>
      <top style="medium">
        <color rgb="FF09597D"/>
      </top>
      <bottom style="medium">
        <color rgb="FF09597D"/>
      </bottom>
      <diagonal/>
    </border>
    <border>
      <left/>
      <right style="thin">
        <color theme="0" tint="-0.34998626667073579"/>
      </right>
      <top style="thin">
        <color theme="0" tint="-0.24994659260841701"/>
      </top>
      <bottom style="thin">
        <color theme="0" tint="-0.24994659260841701"/>
      </bottom>
      <diagonal/>
    </border>
    <border>
      <left/>
      <right style="thin">
        <color theme="0" tint="-0.34998626667073579"/>
      </right>
      <top style="thin">
        <color theme="0" tint="-0.24994659260841701"/>
      </top>
      <bottom style="thin">
        <color theme="0" tint="-0.34998626667073579"/>
      </bottom>
      <diagonal/>
    </border>
    <border>
      <left style="thin">
        <color theme="0" tint="-0.24994659260841701"/>
      </left>
      <right style="thin">
        <color theme="0" tint="-0.24994659260841701"/>
      </right>
      <top style="thin">
        <color theme="0" tint="-0.24994659260841701"/>
      </top>
      <bottom style="thin">
        <color theme="0" tint="-0.34998626667073579"/>
      </bottom>
      <diagonal/>
    </border>
    <border>
      <left/>
      <right style="thin">
        <color theme="0" tint="-0.34998626667073579"/>
      </right>
      <top style="thin">
        <color theme="0" tint="-0.34998626667073579"/>
      </top>
      <bottom style="thin">
        <color theme="0" tint="-0.249977111117893"/>
      </bottom>
      <diagonal/>
    </border>
    <border>
      <left style="thin">
        <color theme="0" tint="-0.249977111117893"/>
      </left>
      <right style="thin">
        <color theme="0" tint="-0.24994659260841701"/>
      </right>
      <top/>
      <bottom/>
      <diagonal/>
    </border>
  </borders>
  <cellStyleXfs count="46">
    <xf numFmtId="0" fontId="0" fillId="0" borderId="0">
      <alignment vertical="center"/>
    </xf>
    <xf numFmtId="0" fontId="27" fillId="14" borderId="0"/>
    <xf numFmtId="0" fontId="14" fillId="11" borderId="3">
      <alignment horizontal="left" vertical="center" wrapText="1"/>
    </xf>
    <xf numFmtId="0" fontId="28" fillId="12" borderId="16">
      <alignment vertical="center"/>
    </xf>
    <xf numFmtId="0" fontId="13" fillId="0" borderId="1" applyBorder="0">
      <alignment horizontal="left" vertical="center"/>
    </xf>
    <xf numFmtId="0" fontId="86" fillId="0" borderId="0" applyNumberFormat="0" applyFill="0" applyBorder="0" applyAlignment="0" applyProtection="0">
      <alignment vertical="center"/>
    </xf>
    <xf numFmtId="0" fontId="4" fillId="3" borderId="2">
      <alignment horizontal="center" vertical="center"/>
    </xf>
    <xf numFmtId="0" fontId="3" fillId="0" borderId="3">
      <alignment horizontal="left" vertical="center" wrapText="1" indent="1"/>
      <protection locked="0"/>
    </xf>
    <xf numFmtId="0" fontId="20" fillId="0" borderId="0" applyNumberFormat="0" applyFill="0" applyBorder="0" applyAlignment="0" applyProtection="0"/>
    <xf numFmtId="0" fontId="11" fillId="9" borderId="0">
      <alignment vertical="top"/>
    </xf>
    <xf numFmtId="0" fontId="7" fillId="0" borderId="0" applyNumberFormat="0" applyFill="0" applyAlignment="0" applyProtection="0"/>
    <xf numFmtId="0" fontId="10" fillId="0" borderId="0" applyNumberFormat="0" applyFill="0" applyBorder="0" applyAlignment="0" applyProtection="0">
      <alignment vertical="center"/>
    </xf>
    <xf numFmtId="43" fontId="16" fillId="0" borderId="0" applyFont="0" applyFill="0" applyBorder="0" applyAlignment="0" applyProtection="0"/>
    <xf numFmtId="0" fontId="17" fillId="9" borderId="0"/>
    <xf numFmtId="0" fontId="19" fillId="0" borderId="37">
      <alignment horizontal="left" vertical="top" wrapText="1"/>
    </xf>
    <xf numFmtId="0" fontId="12" fillId="0" borderId="0">
      <alignment vertical="center"/>
    </xf>
    <xf numFmtId="0" fontId="11" fillId="0" borderId="4" applyBorder="0">
      <alignment horizontal="left" vertical="center" wrapText="1"/>
    </xf>
    <xf numFmtId="0" fontId="14" fillId="11" borderId="15">
      <alignment horizontal="left" wrapText="1"/>
    </xf>
    <xf numFmtId="0" fontId="14" fillId="11" borderId="18">
      <alignment horizontal="left" vertical="center" wrapText="1"/>
    </xf>
    <xf numFmtId="0" fontId="18" fillId="0" borderId="0">
      <alignment horizontal="left" vertical="center" wrapText="1"/>
    </xf>
    <xf numFmtId="0" fontId="25" fillId="12" borderId="25">
      <alignment vertical="center"/>
    </xf>
    <xf numFmtId="0" fontId="24" fillId="12" borderId="39">
      <alignment vertical="center"/>
    </xf>
    <xf numFmtId="0" fontId="9" fillId="10" borderId="0">
      <alignment horizontal="left" indent="5"/>
    </xf>
    <xf numFmtId="0" fontId="23" fillId="12" borderId="3">
      <alignment horizontal="center" vertical="center" wrapText="1"/>
      <protection locked="0"/>
    </xf>
    <xf numFmtId="0" fontId="23" fillId="12" borderId="3">
      <alignment horizontal="left" vertical="center" wrapText="1" indent="1"/>
      <protection locked="0"/>
    </xf>
    <xf numFmtId="0" fontId="26" fillId="0" borderId="38">
      <alignment horizontal="left" vertical="center" wrapText="1" indent="1"/>
      <protection locked="0"/>
    </xf>
    <xf numFmtId="0" fontId="15" fillId="10" borderId="24" applyBorder="0" applyAlignment="0">
      <alignment horizontal="left" vertical="center" wrapText="1"/>
    </xf>
    <xf numFmtId="0" fontId="29" fillId="0" borderId="33" applyBorder="0" applyProtection="0">
      <alignment horizontal="left" vertical="center" indent="2"/>
    </xf>
    <xf numFmtId="0" fontId="15" fillId="10" borderId="57">
      <alignment horizontal="left" vertical="center" wrapText="1"/>
    </xf>
    <xf numFmtId="0" fontId="23" fillId="12" borderId="3" applyAlignment="0">
      <alignment horizontal="left" vertical="center" wrapText="1"/>
    </xf>
    <xf numFmtId="0" fontId="23" fillId="12" borderId="3">
      <alignment horizontal="center" vertical="center" wrapText="1"/>
    </xf>
    <xf numFmtId="0" fontId="8" fillId="15" borderId="0"/>
    <xf numFmtId="0" fontId="12" fillId="0" borderId="0">
      <alignment horizontal="left" vertical="center" indent="5"/>
    </xf>
    <xf numFmtId="0" fontId="30" fillId="2" borderId="7">
      <alignment horizontal="left" vertical="center" indent="5"/>
    </xf>
    <xf numFmtId="0" fontId="21" fillId="0" borderId="0">
      <alignment horizontal="left" vertical="center" indent="5"/>
    </xf>
    <xf numFmtId="0" fontId="31" fillId="2" borderId="3">
      <alignment vertical="center"/>
    </xf>
    <xf numFmtId="0" fontId="28" fillId="0" borderId="0">
      <alignment horizontal="left" vertical="center" wrapText="1" indent="5"/>
    </xf>
    <xf numFmtId="0" fontId="31" fillId="2" borderId="59">
      <alignment vertical="center"/>
    </xf>
    <xf numFmtId="0" fontId="14" fillId="11" borderId="17">
      <alignment horizontal="left" wrapText="1"/>
    </xf>
    <xf numFmtId="0" fontId="11" fillId="9" borderId="0">
      <alignment vertical="center"/>
    </xf>
    <xf numFmtId="0" fontId="2" fillId="0" borderId="0"/>
    <xf numFmtId="0" fontId="32" fillId="16" borderId="20"/>
    <xf numFmtId="0" fontId="32" fillId="17" borderId="20">
      <alignment horizontal="left" vertical="center"/>
    </xf>
    <xf numFmtId="0" fontId="1" fillId="0" borderId="0"/>
    <xf numFmtId="0" fontId="8" fillId="15" borderId="0"/>
    <xf numFmtId="0" fontId="1" fillId="0" borderId="0"/>
  </cellStyleXfs>
  <cellXfs count="506">
    <xf numFmtId="0" fontId="0" fillId="0" borderId="0" xfId="0">
      <alignment vertical="center"/>
    </xf>
    <xf numFmtId="0" fontId="0" fillId="0" borderId="0" xfId="0" applyAlignment="1">
      <alignment vertical="center" wrapText="1"/>
    </xf>
    <xf numFmtId="0" fontId="0" fillId="0" borderId="0" xfId="0" applyBorder="1" applyAlignment="1">
      <alignment vertical="center" wrapText="1"/>
    </xf>
    <xf numFmtId="0" fontId="5" fillId="0" borderId="0" xfId="0" applyFont="1" applyAlignment="1">
      <alignment vertical="center"/>
    </xf>
    <xf numFmtId="0" fontId="0" fillId="0" borderId="0" xfId="0" applyFont="1" applyAlignment="1">
      <alignment vertical="center"/>
    </xf>
    <xf numFmtId="0" fontId="0" fillId="0" borderId="0" xfId="0" applyAlignment="1">
      <alignment vertical="center"/>
    </xf>
    <xf numFmtId="0" fontId="12" fillId="0" borderId="0" xfId="15">
      <alignment vertical="center"/>
    </xf>
    <xf numFmtId="0" fontId="22" fillId="13" borderId="0" xfId="0" applyFont="1" applyFill="1" applyAlignment="1">
      <alignment vertical="center" wrapText="1"/>
    </xf>
    <xf numFmtId="0" fontId="0" fillId="0" borderId="0" xfId="0" applyAlignment="1">
      <alignment horizontal="left" vertical="center"/>
    </xf>
    <xf numFmtId="0" fontId="0" fillId="0" borderId="0" xfId="0" applyAlignment="1">
      <alignment horizontal="left" vertical="center" wrapText="1"/>
    </xf>
    <xf numFmtId="0" fontId="22" fillId="13" borderId="0" xfId="0" applyFont="1" applyFill="1" applyAlignment="1">
      <alignment vertical="center"/>
    </xf>
    <xf numFmtId="0" fontId="22" fillId="13" borderId="0" xfId="0" applyFont="1" applyFill="1" applyAlignment="1">
      <alignment horizontal="left" vertical="center"/>
    </xf>
    <xf numFmtId="0" fontId="22" fillId="13" borderId="0" xfId="15" applyFont="1" applyFill="1">
      <alignment vertical="center"/>
    </xf>
    <xf numFmtId="0" fontId="0" fillId="0" borderId="0" xfId="0" applyAlignment="1"/>
    <xf numFmtId="0" fontId="22" fillId="13" borderId="0" xfId="0" applyFont="1" applyFill="1">
      <alignment vertical="center"/>
    </xf>
    <xf numFmtId="0" fontId="22" fillId="13" borderId="0" xfId="0" applyFont="1" applyFill="1" applyAlignment="1"/>
    <xf numFmtId="49" fontId="22" fillId="13" borderId="0" xfId="0" applyNumberFormat="1" applyFont="1" applyFill="1">
      <alignment vertical="center"/>
    </xf>
    <xf numFmtId="0" fontId="0" fillId="0" borderId="0" xfId="0">
      <alignment vertical="center"/>
    </xf>
    <xf numFmtId="49" fontId="0" fillId="0" borderId="0" xfId="0" applyNumberFormat="1">
      <alignment vertical="center"/>
    </xf>
    <xf numFmtId="0" fontId="12" fillId="0" borderId="0" xfId="15" applyBorder="1">
      <alignment vertical="center"/>
    </xf>
    <xf numFmtId="0" fontId="12" fillId="4" borderId="0" xfId="15" applyFill="1" applyBorder="1">
      <alignment vertical="center"/>
    </xf>
    <xf numFmtId="0" fontId="33" fillId="5" borderId="0" xfId="0" applyFont="1" applyFill="1" applyProtection="1">
      <alignment vertical="center"/>
    </xf>
    <xf numFmtId="0" fontId="33" fillId="5" borderId="0" xfId="0" applyFont="1" applyFill="1" applyAlignment="1" applyProtection="1">
      <alignment vertical="top"/>
    </xf>
    <xf numFmtId="0" fontId="33" fillId="5" borderId="0" xfId="0" applyFont="1" applyFill="1" applyAlignment="1" applyProtection="1">
      <alignment vertical="center"/>
    </xf>
    <xf numFmtId="0" fontId="33" fillId="5" borderId="0" xfId="0" applyFont="1" applyFill="1" applyAlignment="1" applyProtection="1">
      <alignment vertical="center" wrapText="1"/>
    </xf>
    <xf numFmtId="0" fontId="33" fillId="5" borderId="0" xfId="0" applyFont="1" applyFill="1" applyAlignment="1" applyProtection="1"/>
    <xf numFmtId="0" fontId="36" fillId="5" borderId="0" xfId="0" applyFont="1" applyFill="1" applyProtection="1">
      <alignment vertical="center"/>
    </xf>
    <xf numFmtId="0" fontId="33" fillId="5" borderId="0" xfId="0" applyFont="1" applyFill="1" applyBorder="1" applyProtection="1">
      <alignment vertical="center"/>
    </xf>
    <xf numFmtId="0" fontId="34" fillId="5" borderId="0" xfId="15" applyFont="1" applyFill="1">
      <alignment vertical="center"/>
    </xf>
    <xf numFmtId="0" fontId="33" fillId="5" borderId="0" xfId="0" applyFont="1" applyFill="1">
      <alignment vertical="center"/>
    </xf>
    <xf numFmtId="0" fontId="34" fillId="5" borderId="0" xfId="15" applyFont="1" applyFill="1" applyAlignment="1"/>
    <xf numFmtId="0" fontId="34" fillId="5" borderId="0" xfId="15" applyFont="1" applyFill="1" applyAlignment="1">
      <alignment vertical="top"/>
    </xf>
    <xf numFmtId="0" fontId="35" fillId="5" borderId="0" xfId="0" applyFont="1" applyFill="1">
      <alignment vertical="center"/>
    </xf>
    <xf numFmtId="0" fontId="37" fillId="5" borderId="0" xfId="0" applyFont="1" applyFill="1" applyProtection="1">
      <alignment vertical="center"/>
    </xf>
    <xf numFmtId="0" fontId="33" fillId="5" borderId="0" xfId="0" applyFont="1" applyFill="1" applyAlignment="1" applyProtection="1">
      <alignment horizontal="left" vertical="top"/>
    </xf>
    <xf numFmtId="0" fontId="39" fillId="4" borderId="0" xfId="0" applyFont="1" applyFill="1">
      <alignment vertical="center"/>
    </xf>
    <xf numFmtId="0" fontId="0" fillId="5" borderId="0" xfId="0" applyFont="1" applyFill="1">
      <alignment vertical="center"/>
    </xf>
    <xf numFmtId="0" fontId="38" fillId="18" borderId="0" xfId="0" applyFont="1" applyFill="1" applyAlignment="1" applyProtection="1"/>
    <xf numFmtId="0" fontId="27" fillId="18" borderId="0" xfId="44" applyFont="1" applyFill="1" applyAlignment="1" applyProtection="1"/>
    <xf numFmtId="0" fontId="8" fillId="18" borderId="0" xfId="44" applyFont="1" applyFill="1" applyProtection="1"/>
    <xf numFmtId="0" fontId="39" fillId="0" borderId="11" xfId="0" applyFont="1" applyBorder="1" applyProtection="1">
      <alignment vertical="center"/>
    </xf>
    <xf numFmtId="0" fontId="12" fillId="0" borderId="0" xfId="32" applyFont="1" applyAlignment="1">
      <alignment vertical="center" wrapText="1"/>
    </xf>
    <xf numFmtId="0" fontId="12" fillId="0" borderId="0" xfId="32" applyFont="1" applyAlignment="1">
      <alignment horizontal="left" vertical="center" wrapText="1" indent="5"/>
    </xf>
    <xf numFmtId="0" fontId="12" fillId="0" borderId="0" xfId="32" applyFont="1">
      <alignment horizontal="left" vertical="center" indent="5"/>
    </xf>
    <xf numFmtId="0" fontId="39" fillId="0" borderId="12" xfId="0" applyFont="1" applyFill="1" applyBorder="1" applyProtection="1">
      <alignment vertical="center"/>
    </xf>
    <xf numFmtId="0" fontId="51" fillId="0" borderId="0" xfId="37" applyFont="1" applyFill="1" applyBorder="1" applyAlignment="1" applyProtection="1">
      <alignment horizontal="left" vertical="top" wrapText="1" indent="1"/>
    </xf>
    <xf numFmtId="0" fontId="44" fillId="0" borderId="0" xfId="5" applyFont="1" applyFill="1" applyBorder="1" applyAlignment="1" applyProtection="1">
      <alignment horizontal="center" vertical="center" wrapText="1"/>
    </xf>
    <xf numFmtId="0" fontId="39" fillId="0" borderId="11" xfId="0" applyFont="1" applyFill="1" applyBorder="1" applyProtection="1">
      <alignment vertical="center"/>
    </xf>
    <xf numFmtId="0" fontId="39" fillId="0" borderId="12" xfId="0" applyFont="1" applyFill="1" applyBorder="1" applyAlignment="1" applyProtection="1">
      <alignment vertical="top"/>
    </xf>
    <xf numFmtId="0" fontId="39" fillId="0" borderId="21" xfId="0" applyFont="1" applyFill="1" applyBorder="1" applyAlignment="1" applyProtection="1">
      <alignment vertical="top"/>
    </xf>
    <xf numFmtId="0" fontId="39" fillId="5" borderId="0" xfId="0" applyFont="1" applyFill="1" applyProtection="1">
      <alignment vertical="center"/>
    </xf>
    <xf numFmtId="0" fontId="27" fillId="18" borderId="0" xfId="31" applyFont="1" applyFill="1" applyAlignment="1" applyProtection="1"/>
    <xf numFmtId="0" fontId="8" fillId="18" borderId="0" xfId="31" applyFont="1" applyFill="1" applyProtection="1"/>
    <xf numFmtId="0" fontId="39" fillId="0" borderId="0" xfId="0" applyFont="1" applyBorder="1" applyAlignment="1" applyProtection="1">
      <alignment vertical="center" wrapText="1"/>
    </xf>
    <xf numFmtId="0" fontId="39" fillId="0" borderId="0" xfId="0" applyFont="1" applyAlignment="1" applyProtection="1">
      <alignment vertical="center"/>
    </xf>
    <xf numFmtId="0" fontId="39" fillId="0" borderId="0" xfId="0" applyFont="1" applyProtection="1">
      <alignment vertical="center"/>
    </xf>
    <xf numFmtId="0" fontId="12" fillId="0" borderId="0" xfId="32" applyFont="1" applyAlignment="1">
      <alignment horizontal="left" vertical="center" indent="5"/>
    </xf>
    <xf numFmtId="0" fontId="27" fillId="19" borderId="0" xfId="1" applyFont="1" applyFill="1"/>
    <xf numFmtId="0" fontId="8" fillId="18" borderId="0" xfId="1" applyFont="1" applyFill="1" applyAlignment="1" applyProtection="1"/>
    <xf numFmtId="0" fontId="8" fillId="18" borderId="0" xfId="1" applyFont="1" applyFill="1" applyProtection="1"/>
    <xf numFmtId="0" fontId="60" fillId="0" borderId="23" xfId="0" applyFont="1" applyBorder="1" applyAlignment="1" applyProtection="1">
      <alignment vertical="center"/>
    </xf>
    <xf numFmtId="0" fontId="61" fillId="0" borderId="23" xfId="0" applyFont="1" applyBorder="1" applyAlignment="1" applyProtection="1">
      <alignment vertical="center"/>
    </xf>
    <xf numFmtId="0" fontId="62" fillId="20" borderId="4" xfId="2" applyFont="1" applyFill="1" applyBorder="1" applyAlignment="1" applyProtection="1">
      <alignment vertical="center" wrapText="1"/>
    </xf>
    <xf numFmtId="0" fontId="41" fillId="20" borderId="6" xfId="2" applyFont="1" applyFill="1" applyBorder="1" applyAlignment="1" applyProtection="1">
      <alignment vertical="center" wrapText="1"/>
    </xf>
    <xf numFmtId="0" fontId="41" fillId="20" borderId="5" xfId="2" applyFont="1" applyFill="1" applyBorder="1" applyAlignment="1" applyProtection="1">
      <alignment vertical="center" wrapText="1"/>
    </xf>
    <xf numFmtId="0" fontId="23" fillId="12" borderId="7" xfId="3" applyFont="1" applyFill="1" applyBorder="1" applyAlignment="1" applyProtection="1">
      <alignment horizontal="left" vertical="center" wrapText="1"/>
    </xf>
    <xf numFmtId="0" fontId="23" fillId="12" borderId="8" xfId="37" applyFont="1" applyFill="1" applyBorder="1" applyAlignment="1" applyProtection="1">
      <alignment horizontal="left" vertical="center" wrapText="1"/>
    </xf>
    <xf numFmtId="0" fontId="39" fillId="0" borderId="67" xfId="0" applyFont="1" applyFill="1" applyBorder="1" applyProtection="1">
      <alignment vertical="center"/>
    </xf>
    <xf numFmtId="0" fontId="23" fillId="12" borderId="70" xfId="37" applyFont="1" applyFill="1" applyBorder="1" applyAlignment="1" applyProtection="1">
      <alignment horizontal="left" vertical="center" wrapText="1"/>
    </xf>
    <xf numFmtId="0" fontId="62" fillId="20" borderId="4" xfId="2" applyFont="1" applyFill="1" applyBorder="1" applyAlignment="1" applyProtection="1">
      <alignment vertical="center"/>
    </xf>
    <xf numFmtId="0" fontId="41" fillId="20" borderId="6" xfId="2" applyFont="1" applyFill="1" applyBorder="1" applyAlignment="1" applyProtection="1">
      <alignment vertical="center"/>
    </xf>
    <xf numFmtId="0" fontId="41" fillId="20" borderId="5" xfId="2" applyFont="1" applyFill="1" applyBorder="1" applyAlignment="1" applyProtection="1">
      <alignment vertical="center"/>
    </xf>
    <xf numFmtId="0" fontId="13" fillId="12" borderId="7" xfId="3" applyFont="1" applyFill="1" applyBorder="1" applyAlignment="1" applyProtection="1">
      <alignment horizontal="left" vertical="center" wrapText="1"/>
    </xf>
    <xf numFmtId="0" fontId="9" fillId="7" borderId="4" xfId="7" applyFont="1" applyFill="1" applyBorder="1" applyProtection="1">
      <alignment horizontal="left" vertical="center" wrapText="1" indent="1"/>
    </xf>
    <xf numFmtId="0" fontId="9" fillId="0" borderId="4" xfId="7" applyFont="1" applyBorder="1" applyProtection="1">
      <alignment horizontal="left" vertical="center" wrapText="1" indent="1"/>
      <protection locked="0"/>
    </xf>
    <xf numFmtId="0" fontId="9" fillId="0" borderId="6" xfId="7" applyFont="1" applyFill="1" applyBorder="1" applyProtection="1">
      <alignment horizontal="left" vertical="center" wrapText="1" indent="1"/>
    </xf>
    <xf numFmtId="0" fontId="9" fillId="0" borderId="4" xfId="7" applyFont="1" applyFill="1" applyBorder="1" applyProtection="1">
      <alignment horizontal="left" vertical="center" wrapText="1" indent="1"/>
    </xf>
    <xf numFmtId="0" fontId="65" fillId="12" borderId="3" xfId="3" applyFont="1" applyFill="1" applyBorder="1" applyAlignment="1" applyProtection="1">
      <alignment horizontal="left" vertical="center" wrapText="1"/>
    </xf>
    <xf numFmtId="0" fontId="62" fillId="20" borderId="16" xfId="2" applyFont="1" applyFill="1" applyBorder="1" applyAlignment="1" applyProtection="1">
      <alignment vertical="center"/>
    </xf>
    <xf numFmtId="0" fontId="39" fillId="0" borderId="68" xfId="0" applyFont="1" applyFill="1" applyBorder="1" applyProtection="1">
      <alignment vertical="center"/>
    </xf>
    <xf numFmtId="0" fontId="13" fillId="12" borderId="35" xfId="3" applyFont="1" applyFill="1" applyBorder="1" applyAlignment="1" applyProtection="1">
      <alignment horizontal="left" vertical="center" wrapText="1"/>
    </xf>
    <xf numFmtId="164" fontId="26" fillId="0" borderId="49" xfId="7" applyNumberFormat="1" applyFont="1" applyBorder="1" applyProtection="1">
      <alignment horizontal="left" vertical="center" wrapText="1" indent="1"/>
      <protection locked="0"/>
    </xf>
    <xf numFmtId="164" fontId="26" fillId="0" borderId="49" xfId="7" applyNumberFormat="1" applyFont="1" applyBorder="1" applyProtection="1">
      <alignment horizontal="left" vertical="center" wrapText="1" indent="1"/>
    </xf>
    <xf numFmtId="164" fontId="26" fillId="0" borderId="44" xfId="7" applyNumberFormat="1" applyFont="1" applyBorder="1" applyProtection="1">
      <alignment horizontal="left" vertical="center" wrapText="1" indent="1"/>
    </xf>
    <xf numFmtId="0" fontId="51" fillId="0" borderId="0" xfId="3" applyFont="1" applyFill="1" applyBorder="1" applyAlignment="1" applyProtection="1">
      <alignment horizontal="left" vertical="top" wrapText="1" indent="1"/>
    </xf>
    <xf numFmtId="0" fontId="62" fillId="20" borderId="4" xfId="2" applyFont="1" applyFill="1" applyBorder="1" applyAlignment="1" applyProtection="1">
      <alignment horizontal="left" vertical="center" wrapText="1"/>
    </xf>
    <xf numFmtId="0" fontId="41" fillId="20" borderId="6" xfId="2" applyFont="1" applyFill="1" applyBorder="1" applyAlignment="1" applyProtection="1">
      <alignment horizontal="left" vertical="center" wrapText="1"/>
    </xf>
    <xf numFmtId="0" fontId="41" fillId="20" borderId="5" xfId="2" applyFont="1" applyFill="1" applyBorder="1" applyAlignment="1" applyProtection="1">
      <alignment horizontal="left" vertical="center" wrapText="1"/>
    </xf>
    <xf numFmtId="0" fontId="39" fillId="0" borderId="0" xfId="0" applyFont="1" applyFill="1" applyBorder="1" applyProtection="1">
      <alignment vertical="center"/>
    </xf>
    <xf numFmtId="0" fontId="44" fillId="8" borderId="0" xfId="6" applyFont="1" applyFill="1" applyBorder="1" applyProtection="1">
      <alignment horizontal="center" vertical="center"/>
    </xf>
    <xf numFmtId="0" fontId="68" fillId="18" borderId="0" xfId="0" applyFont="1" applyFill="1" applyAlignment="1" applyProtection="1"/>
    <xf numFmtId="0" fontId="68" fillId="18" borderId="0" xfId="0" applyFont="1" applyFill="1" applyAlignment="1" applyProtection="1">
      <alignment horizontal="center"/>
    </xf>
    <xf numFmtId="0" fontId="27" fillId="19" borderId="0" xfId="1" applyFont="1" applyFill="1" applyAlignment="1" applyProtection="1">
      <alignment vertical="center" wrapText="1"/>
    </xf>
    <xf numFmtId="0" fontId="27" fillId="19" borderId="0" xfId="1" applyFont="1" applyFill="1" applyAlignment="1" applyProtection="1">
      <alignment horizontal="center"/>
    </xf>
    <xf numFmtId="0" fontId="27" fillId="19" borderId="0" xfId="1" applyFont="1" applyFill="1" applyAlignment="1" applyProtection="1">
      <alignment horizontal="left" indent="5"/>
    </xf>
    <xf numFmtId="0" fontId="27" fillId="19" borderId="0" xfId="1" applyFont="1" applyFill="1" applyAlignment="1" applyProtection="1">
      <alignment horizontal="left" wrapText="1" indent="5"/>
    </xf>
    <xf numFmtId="0" fontId="12" fillId="0" borderId="0" xfId="0" applyFont="1" applyFill="1" applyBorder="1" applyProtection="1">
      <alignment vertical="center"/>
    </xf>
    <xf numFmtId="0" fontId="12" fillId="0" borderId="0" xfId="0" applyFont="1" applyProtection="1">
      <alignment vertical="center"/>
    </xf>
    <xf numFmtId="0" fontId="12" fillId="0" borderId="0" xfId="0" applyFont="1" applyFill="1" applyBorder="1" applyAlignment="1" applyProtection="1">
      <alignment horizontal="center" vertical="center"/>
    </xf>
    <xf numFmtId="0" fontId="49" fillId="12" borderId="16" xfId="3" applyFont="1">
      <alignment vertical="center"/>
    </xf>
    <xf numFmtId="0" fontId="65" fillId="12" borderId="27" xfId="0" applyFont="1" applyFill="1" applyBorder="1" applyAlignment="1" applyProtection="1">
      <alignment vertical="center" wrapText="1"/>
    </xf>
    <xf numFmtId="0" fontId="65" fillId="12" borderId="36" xfId="0" applyFont="1" applyFill="1" applyBorder="1" applyAlignment="1" applyProtection="1">
      <alignment vertical="center" wrapText="1"/>
    </xf>
    <xf numFmtId="0" fontId="12" fillId="4" borderId="0" xfId="0" applyFont="1" applyFill="1" applyBorder="1" applyProtection="1">
      <alignment vertical="center"/>
    </xf>
    <xf numFmtId="0" fontId="65" fillId="12" borderId="0" xfId="0" applyFont="1" applyFill="1" applyBorder="1" applyAlignment="1" applyProtection="1">
      <alignment vertical="center" wrapText="1"/>
    </xf>
    <xf numFmtId="0" fontId="65" fillId="12" borderId="45" xfId="0" applyFont="1" applyFill="1" applyBorder="1" applyAlignment="1" applyProtection="1">
      <alignment vertical="center" wrapText="1"/>
    </xf>
    <xf numFmtId="0" fontId="62" fillId="20" borderId="16" xfId="2" applyFont="1" applyFill="1" applyBorder="1" applyAlignment="1" applyProtection="1">
      <alignment horizontal="left" wrapText="1"/>
    </xf>
    <xf numFmtId="0" fontId="62" fillId="20" borderId="15" xfId="2" applyFont="1" applyFill="1" applyBorder="1" applyAlignment="1" applyProtection="1">
      <alignment horizontal="left" wrapText="1"/>
    </xf>
    <xf numFmtId="0" fontId="62" fillId="20" borderId="27" xfId="2" applyFont="1" applyFill="1" applyBorder="1" applyAlignment="1" applyProtection="1">
      <alignment horizontal="left" wrapText="1"/>
    </xf>
    <xf numFmtId="0" fontId="70" fillId="18" borderId="75" xfId="28" applyFont="1" applyFill="1" applyBorder="1">
      <alignment horizontal="left" vertical="center" wrapText="1"/>
    </xf>
    <xf numFmtId="0" fontId="70" fillId="18" borderId="76" xfId="28" applyFont="1" applyFill="1" applyBorder="1">
      <alignment horizontal="left" vertical="center" wrapText="1"/>
    </xf>
    <xf numFmtId="0" fontId="66" fillId="18" borderId="77" xfId="28" applyFont="1" applyFill="1" applyBorder="1">
      <alignment horizontal="left" vertical="center" wrapText="1"/>
    </xf>
    <xf numFmtId="0" fontId="12" fillId="4" borderId="0" xfId="0" applyFont="1" applyFill="1" applyProtection="1">
      <alignment vertical="center"/>
    </xf>
    <xf numFmtId="0" fontId="41" fillId="20" borderId="39" xfId="2" applyFont="1" applyFill="1" applyBorder="1" applyAlignment="1" applyProtection="1">
      <alignment wrapText="1"/>
    </xf>
    <xf numFmtId="0" fontId="41" fillId="20" borderId="17" xfId="2" applyFont="1" applyFill="1" applyBorder="1" applyAlignment="1" applyProtection="1">
      <alignment horizontal="left" vertical="center"/>
    </xf>
    <xf numFmtId="0" fontId="41" fillId="20" borderId="0" xfId="2" applyFont="1" applyFill="1" applyBorder="1" applyAlignment="1" applyProtection="1">
      <alignment wrapText="1"/>
    </xf>
    <xf numFmtId="0" fontId="23" fillId="12" borderId="3" xfId="29" applyFont="1" applyAlignment="1">
      <alignment horizontal="left" vertical="center" wrapText="1"/>
    </xf>
    <xf numFmtId="0" fontId="23" fillId="12" borderId="3" xfId="29" applyFont="1" applyAlignment="1">
      <alignment vertical="center" wrapText="1"/>
    </xf>
    <xf numFmtId="0" fontId="23" fillId="12" borderId="3" xfId="30" applyFont="1">
      <alignment horizontal="center" vertical="center" wrapText="1"/>
    </xf>
    <xf numFmtId="0" fontId="72" fillId="12" borderId="18" xfId="2" applyNumberFormat="1" applyFont="1" applyFill="1" applyBorder="1" applyAlignment="1" applyProtection="1">
      <alignment horizontal="center" vertical="center" wrapText="1"/>
      <protection locked="0"/>
    </xf>
    <xf numFmtId="0" fontId="23" fillId="12" borderId="18" xfId="23" applyFont="1" applyBorder="1">
      <alignment horizontal="center" vertical="center" wrapText="1"/>
      <protection locked="0"/>
    </xf>
    <xf numFmtId="0" fontId="23" fillId="12" borderId="18" xfId="24" applyFont="1" applyBorder="1" applyAlignment="1">
      <alignment horizontal="left" vertical="center" wrapText="1"/>
      <protection locked="0"/>
    </xf>
    <xf numFmtId="0" fontId="72" fillId="12" borderId="3" xfId="2" applyNumberFormat="1" applyFont="1" applyFill="1" applyBorder="1" applyAlignment="1" applyProtection="1">
      <alignment horizontal="center" vertical="center" wrapText="1"/>
      <protection locked="0"/>
    </xf>
    <xf numFmtId="0" fontId="23" fillId="12" borderId="3" xfId="23" applyFont="1">
      <alignment horizontal="center" vertical="center" wrapText="1"/>
      <protection locked="0"/>
    </xf>
    <xf numFmtId="0" fontId="23" fillId="12" borderId="3" xfId="24" applyFont="1" applyAlignment="1">
      <alignment horizontal="left" vertical="center" wrapText="1"/>
      <protection locked="0"/>
    </xf>
    <xf numFmtId="0" fontId="42" fillId="0" borderId="0" xfId="5" applyFont="1" applyProtection="1">
      <alignment vertical="center"/>
    </xf>
    <xf numFmtId="0" fontId="0" fillId="0" borderId="0" xfId="0" applyFont="1" applyProtection="1">
      <alignment vertical="center"/>
    </xf>
    <xf numFmtId="0" fontId="65" fillId="12" borderId="51" xfId="0" applyFont="1" applyFill="1" applyBorder="1" applyAlignment="1" applyProtection="1">
      <alignment vertical="center" wrapText="1"/>
    </xf>
    <xf numFmtId="0" fontId="65" fillId="12" borderId="40" xfId="0" applyFont="1" applyFill="1" applyBorder="1" applyAlignment="1" applyProtection="1">
      <alignment vertical="center" wrapText="1"/>
    </xf>
    <xf numFmtId="0" fontId="12" fillId="12" borderId="27" xfId="0" applyFont="1" applyFill="1" applyBorder="1" applyAlignment="1" applyProtection="1">
      <alignment vertical="center"/>
    </xf>
    <xf numFmtId="0" fontId="12" fillId="12" borderId="36" xfId="0" applyFont="1" applyFill="1" applyBorder="1" applyAlignment="1" applyProtection="1">
      <alignment vertical="center"/>
    </xf>
    <xf numFmtId="0" fontId="73" fillId="12" borderId="51" xfId="0" applyFont="1" applyFill="1" applyBorder="1" applyAlignment="1" applyProtection="1">
      <alignment vertical="center"/>
    </xf>
    <xf numFmtId="0" fontId="73" fillId="12" borderId="40" xfId="0" applyFont="1" applyFill="1" applyBorder="1" applyAlignment="1" applyProtection="1">
      <alignment vertical="center"/>
    </xf>
    <xf numFmtId="0" fontId="0" fillId="4" borderId="0" xfId="0" applyFont="1" applyFill="1" applyProtection="1">
      <alignment vertical="center"/>
    </xf>
    <xf numFmtId="0" fontId="12" fillId="0" borderId="0" xfId="0" applyFont="1" applyFill="1" applyBorder="1" applyAlignment="1" applyProtection="1">
      <alignment vertical="center" wrapText="1"/>
    </xf>
    <xf numFmtId="0" fontId="73" fillId="12" borderId="51" xfId="0" applyFont="1" applyFill="1" applyBorder="1" applyAlignment="1" applyProtection="1">
      <alignment vertical="center" wrapText="1"/>
    </xf>
    <xf numFmtId="0" fontId="73" fillId="12" borderId="40" xfId="0" applyFont="1" applyFill="1" applyBorder="1" applyAlignment="1" applyProtection="1">
      <alignment vertical="center" wrapText="1"/>
    </xf>
    <xf numFmtId="0" fontId="12" fillId="12" borderId="27" xfId="0" applyFont="1" applyFill="1" applyBorder="1" applyAlignment="1" applyProtection="1">
      <alignment vertical="center" wrapText="1"/>
    </xf>
    <xf numFmtId="0" fontId="12" fillId="12" borderId="36" xfId="0" applyFont="1" applyFill="1" applyBorder="1" applyAlignment="1" applyProtection="1">
      <alignment vertical="center" wrapText="1"/>
    </xf>
    <xf numFmtId="0" fontId="73" fillId="12" borderId="0" xfId="0" applyFont="1" applyFill="1" applyBorder="1" applyAlignment="1" applyProtection="1">
      <alignment vertical="center"/>
    </xf>
    <xf numFmtId="0" fontId="73" fillId="12" borderId="45" xfId="0" applyFont="1" applyFill="1" applyBorder="1" applyAlignment="1" applyProtection="1">
      <alignment vertical="center"/>
    </xf>
    <xf numFmtId="0" fontId="42" fillId="0" borderId="27" xfId="5" applyFont="1" applyBorder="1" applyProtection="1">
      <alignment vertical="center"/>
    </xf>
    <xf numFmtId="0" fontId="0" fillId="12" borderId="34" xfId="3" applyFont="1" applyBorder="1" applyAlignment="1">
      <alignment vertical="center"/>
    </xf>
    <xf numFmtId="0" fontId="0" fillId="12" borderId="61" xfId="3" applyFont="1" applyBorder="1" applyAlignment="1">
      <alignment vertical="center"/>
    </xf>
    <xf numFmtId="0" fontId="24" fillId="12" borderId="0" xfId="21" applyFont="1" applyBorder="1" applyAlignment="1">
      <alignment horizontal="left" vertical="center" wrapText="1"/>
    </xf>
    <xf numFmtId="0" fontId="24" fillId="12" borderId="42" xfId="21" applyFont="1" applyBorder="1" applyAlignment="1">
      <alignment horizontal="left" vertical="center" wrapText="1"/>
    </xf>
    <xf numFmtId="0" fontId="12" fillId="0" borderId="42" xfId="0" applyFont="1" applyFill="1" applyBorder="1" applyProtection="1">
      <alignment vertical="center"/>
    </xf>
    <xf numFmtId="0" fontId="23" fillId="12" borderId="3" xfId="24" applyFont="1">
      <alignment horizontal="left" vertical="center" wrapText="1" indent="1"/>
      <protection locked="0"/>
    </xf>
    <xf numFmtId="0" fontId="74" fillId="12" borderId="3" xfId="2" applyNumberFormat="1" applyFont="1" applyFill="1" applyBorder="1" applyAlignment="1" applyProtection="1">
      <alignment horizontal="left" vertical="center" wrapText="1"/>
      <protection locked="0"/>
    </xf>
    <xf numFmtId="0" fontId="12" fillId="0" borderId="0" xfId="0" applyFont="1" applyBorder="1" applyProtection="1">
      <alignment vertical="center"/>
    </xf>
    <xf numFmtId="0" fontId="49" fillId="12" borderId="60" xfId="3" applyFont="1" applyBorder="1" applyAlignment="1">
      <alignment vertical="center"/>
    </xf>
    <xf numFmtId="0" fontId="12" fillId="0" borderId="0" xfId="0" applyFont="1" applyFill="1" applyBorder="1" applyAlignment="1" applyProtection="1">
      <alignment vertical="top"/>
    </xf>
    <xf numFmtId="0" fontId="48" fillId="0" borderId="0" xfId="0" applyFont="1" applyFill="1" applyBorder="1" applyAlignment="1" applyProtection="1">
      <alignment vertical="top"/>
    </xf>
    <xf numFmtId="0" fontId="12" fillId="5" borderId="0" xfId="0" applyFont="1" applyFill="1" applyProtection="1">
      <alignment vertical="center"/>
    </xf>
    <xf numFmtId="0" fontId="12" fillId="5" borderId="0" xfId="0" applyFont="1" applyFill="1" applyAlignment="1" applyProtection="1">
      <alignment horizontal="center" vertical="center"/>
    </xf>
    <xf numFmtId="0" fontId="0" fillId="18" borderId="0" xfId="0" applyFont="1" applyFill="1" applyProtection="1">
      <alignment vertical="center"/>
    </xf>
    <xf numFmtId="0" fontId="8" fillId="19" borderId="0" xfId="1" applyFont="1" applyFill="1" applyAlignment="1" applyProtection="1"/>
    <xf numFmtId="0" fontId="0" fillId="0" borderId="0" xfId="0" applyFont="1" applyFill="1" applyBorder="1" applyProtection="1">
      <alignment vertical="center"/>
    </xf>
    <xf numFmtId="0" fontId="76" fillId="0" borderId="0" xfId="0" applyFont="1" applyFill="1" applyBorder="1" applyAlignment="1" applyProtection="1">
      <alignment horizontal="left" vertical="top" wrapText="1"/>
    </xf>
    <xf numFmtId="0" fontId="43" fillId="0" borderId="0" xfId="0" applyFont="1" applyFill="1" applyBorder="1" applyAlignment="1" applyProtection="1">
      <alignment horizontal="left" vertical="top" wrapText="1"/>
    </xf>
    <xf numFmtId="0" fontId="0" fillId="0" borderId="11" xfId="0" applyFont="1" applyFill="1" applyBorder="1" applyProtection="1">
      <alignment vertical="center"/>
    </xf>
    <xf numFmtId="0" fontId="66" fillId="18" borderId="19" xfId="0" applyFont="1" applyFill="1" applyBorder="1" applyAlignment="1" applyProtection="1">
      <alignment vertical="center"/>
    </xf>
    <xf numFmtId="0" fontId="63" fillId="0" borderId="30" xfId="27" applyFont="1" applyBorder="1" applyProtection="1">
      <alignment horizontal="left" vertical="center" indent="2"/>
    </xf>
    <xf numFmtId="0" fontId="77" fillId="0" borderId="0" xfId="0" applyFont="1" applyFill="1" applyBorder="1" applyAlignment="1" applyProtection="1">
      <alignment vertical="center"/>
    </xf>
    <xf numFmtId="0" fontId="77" fillId="0" borderId="0" xfId="0" applyFont="1" applyFill="1" applyBorder="1" applyAlignment="1" applyProtection="1">
      <alignment horizontal="center" vertical="center"/>
    </xf>
    <xf numFmtId="0" fontId="63" fillId="0" borderId="31" xfId="27" applyFont="1" applyBorder="1" applyProtection="1">
      <alignment horizontal="left" vertical="center" indent="2"/>
      <protection locked="0"/>
    </xf>
    <xf numFmtId="0" fontId="78" fillId="0" borderId="26" xfId="0" applyFont="1" applyFill="1" applyBorder="1" applyAlignment="1" applyProtection="1">
      <alignment horizontal="left" vertical="center"/>
    </xf>
    <xf numFmtId="0" fontId="63" fillId="0" borderId="32" xfId="27" applyFont="1" applyBorder="1" applyProtection="1">
      <alignment horizontal="left" vertical="center" indent="2"/>
      <protection locked="0"/>
    </xf>
    <xf numFmtId="0" fontId="77" fillId="0" borderId="28" xfId="0" applyFont="1" applyFill="1" applyBorder="1" applyAlignment="1" applyProtection="1">
      <alignment horizontal="center" vertical="center"/>
    </xf>
    <xf numFmtId="0" fontId="63" fillId="0" borderId="0" xfId="27" applyFont="1" applyBorder="1" applyProtection="1">
      <alignment horizontal="left" vertical="center" indent="2"/>
      <protection locked="0"/>
    </xf>
    <xf numFmtId="0" fontId="74" fillId="0" borderId="0" xfId="0" applyFont="1" applyFill="1" applyBorder="1" applyProtection="1">
      <alignment vertical="center"/>
    </xf>
    <xf numFmtId="0" fontId="49" fillId="12" borderId="16" xfId="3" applyFont="1" applyAlignment="1">
      <alignment vertical="center"/>
    </xf>
    <xf numFmtId="0" fontId="0" fillId="12" borderId="27" xfId="3" applyFont="1" applyBorder="1" applyAlignment="1">
      <alignment vertical="center"/>
    </xf>
    <xf numFmtId="0" fontId="0" fillId="12" borderId="56" xfId="3" applyFont="1" applyBorder="1" applyAlignment="1">
      <alignment vertical="center"/>
    </xf>
    <xf numFmtId="0" fontId="74" fillId="0" borderId="11" xfId="0" applyFont="1" applyFill="1" applyBorder="1" applyProtection="1">
      <alignment vertical="center"/>
    </xf>
    <xf numFmtId="0" fontId="24" fillId="12" borderId="0" xfId="20" applyFont="1" applyBorder="1">
      <alignment vertical="center"/>
    </xf>
    <xf numFmtId="0" fontId="24" fillId="12" borderId="42" xfId="20" applyFont="1" applyBorder="1">
      <alignment vertical="center"/>
    </xf>
    <xf numFmtId="0" fontId="74" fillId="0" borderId="0" xfId="0" applyFont="1" applyFill="1" applyProtection="1">
      <alignment vertical="center"/>
    </xf>
    <xf numFmtId="0" fontId="41" fillId="20" borderId="18" xfId="2" applyFont="1" applyFill="1" applyBorder="1" applyAlignment="1" applyProtection="1">
      <alignment horizontal="left" wrapText="1" indent="1"/>
    </xf>
    <xf numFmtId="0" fontId="41" fillId="20" borderId="25" xfId="2" applyFont="1" applyFill="1" applyBorder="1" applyAlignment="1" applyProtection="1">
      <alignment horizontal="left" wrapText="1" indent="1"/>
    </xf>
    <xf numFmtId="0" fontId="41" fillId="20" borderId="39" xfId="2" applyFont="1" applyFill="1" applyBorder="1" applyAlignment="1" applyProtection="1">
      <alignment horizontal="left" wrapText="1"/>
    </xf>
    <xf numFmtId="0" fontId="23" fillId="12" borderId="18" xfId="24" applyFont="1" applyBorder="1">
      <alignment horizontal="left" vertical="center" wrapText="1" indent="1"/>
      <protection locked="0"/>
    </xf>
    <xf numFmtId="0" fontId="76" fillId="0" borderId="0" xfId="7" applyNumberFormat="1" applyFont="1" applyBorder="1" applyAlignment="1" applyProtection="1">
      <alignment horizontal="left" vertical="center" wrapText="1" indent="1"/>
    </xf>
    <xf numFmtId="0" fontId="42" fillId="0" borderId="0" xfId="5" applyFont="1" applyBorder="1" applyAlignment="1" applyProtection="1">
      <alignment vertical="center" wrapText="1"/>
    </xf>
    <xf numFmtId="0" fontId="65" fillId="0" borderId="0" xfId="0" applyFont="1" applyBorder="1" applyAlignment="1" applyProtection="1">
      <alignment horizontal="left" vertical="center" wrapText="1" indent="1"/>
    </xf>
    <xf numFmtId="0" fontId="65" fillId="0" borderId="0" xfId="2" applyNumberFormat="1" applyFont="1" applyFill="1" applyBorder="1" applyAlignment="1" applyProtection="1">
      <alignment horizontal="left" vertical="center" wrapText="1" indent="1"/>
    </xf>
    <xf numFmtId="0" fontId="79" fillId="0" borderId="0" xfId="2" applyNumberFormat="1" applyFont="1" applyFill="1" applyBorder="1" applyAlignment="1" applyProtection="1">
      <alignment horizontal="center" vertical="center" wrapText="1"/>
    </xf>
    <xf numFmtId="0" fontId="24" fillId="12" borderId="51" xfId="20" applyFont="1" applyBorder="1">
      <alignment vertical="center"/>
    </xf>
    <xf numFmtId="0" fontId="24" fillId="12" borderId="55" xfId="20" applyFont="1" applyBorder="1">
      <alignment vertical="center"/>
    </xf>
    <xf numFmtId="0" fontId="72" fillId="12" borderId="41" xfId="2" applyNumberFormat="1" applyFont="1" applyFill="1" applyBorder="1" applyAlignment="1" applyProtection="1">
      <alignment horizontal="center" vertical="center" wrapText="1"/>
      <protection locked="0"/>
    </xf>
    <xf numFmtId="0" fontId="72" fillId="12" borderId="13" xfId="2" applyNumberFormat="1" applyFont="1" applyFill="1" applyBorder="1" applyAlignment="1" applyProtection="1">
      <alignment horizontal="center" vertical="center" wrapText="1"/>
      <protection locked="0"/>
    </xf>
    <xf numFmtId="0" fontId="65" fillId="0" borderId="34" xfId="2" applyNumberFormat="1" applyFont="1" applyFill="1" applyBorder="1" applyAlignment="1" applyProtection="1">
      <alignment horizontal="left" vertical="center" wrapText="1" indent="1"/>
    </xf>
    <xf numFmtId="0" fontId="72" fillId="12" borderId="29" xfId="2" applyNumberFormat="1" applyFont="1" applyFill="1" applyBorder="1" applyAlignment="1" applyProtection="1">
      <alignment horizontal="center" vertical="center" wrapText="1"/>
      <protection locked="0"/>
    </xf>
    <xf numFmtId="0" fontId="0" fillId="0" borderId="0" xfId="0" applyFont="1" applyFill="1" applyProtection="1">
      <alignment vertical="center"/>
    </xf>
    <xf numFmtId="0" fontId="72" fillId="12" borderId="54" xfId="2" applyNumberFormat="1" applyFont="1" applyFill="1" applyBorder="1" applyAlignment="1" applyProtection="1">
      <alignment horizontal="center" vertical="center" wrapText="1"/>
      <protection locked="0"/>
    </xf>
    <xf numFmtId="0" fontId="72" fillId="12" borderId="7" xfId="2" applyNumberFormat="1" applyFont="1" applyFill="1" applyBorder="1" applyAlignment="1" applyProtection="1">
      <alignment horizontal="center" vertical="center" wrapText="1"/>
      <protection locked="0"/>
    </xf>
    <xf numFmtId="0" fontId="80" fillId="4" borderId="0" xfId="0" applyFont="1" applyFill="1" applyBorder="1" applyAlignment="1" applyProtection="1">
      <alignment horizontal="left" vertical="center"/>
    </xf>
    <xf numFmtId="0" fontId="74" fillId="0" borderId="0" xfId="2" applyFont="1" applyFill="1" applyBorder="1" applyAlignment="1" applyProtection="1">
      <alignment horizontal="left" vertical="center"/>
    </xf>
    <xf numFmtId="0" fontId="74" fillId="0" borderId="0" xfId="2" applyFont="1" applyFill="1" applyBorder="1" applyAlignment="1" applyProtection="1">
      <alignment horizontal="center" vertical="center"/>
    </xf>
    <xf numFmtId="0" fontId="74" fillId="0" borderId="0" xfId="2" applyFont="1" applyFill="1" applyBorder="1" applyAlignment="1" applyProtection="1">
      <alignment horizontal="center" vertical="center" wrapText="1"/>
    </xf>
    <xf numFmtId="0" fontId="0" fillId="0" borderId="14" xfId="0" applyFont="1" applyFill="1" applyBorder="1" applyAlignment="1" applyProtection="1">
      <alignment vertical="top"/>
    </xf>
    <xf numFmtId="0" fontId="48" fillId="0" borderId="14" xfId="0" applyFont="1" applyFill="1" applyBorder="1" applyAlignment="1" applyProtection="1">
      <alignment vertical="top"/>
    </xf>
    <xf numFmtId="0" fontId="0" fillId="5" borderId="0" xfId="0" applyFont="1" applyFill="1" applyProtection="1">
      <alignment vertical="center"/>
    </xf>
    <xf numFmtId="0" fontId="0" fillId="5" borderId="0" xfId="0" applyFont="1" applyFill="1" applyBorder="1" applyProtection="1">
      <alignment vertical="center"/>
    </xf>
    <xf numFmtId="0" fontId="68" fillId="18" borderId="0" xfId="15" applyFont="1" applyFill="1" applyAlignment="1">
      <alignment horizontal="left" indent="5"/>
    </xf>
    <xf numFmtId="0" fontId="8" fillId="19" borderId="0" xfId="1" applyFont="1" applyFill="1" applyAlignment="1">
      <alignment vertical="center"/>
    </xf>
    <xf numFmtId="0" fontId="8" fillId="19" borderId="0" xfId="1" applyFont="1" applyFill="1"/>
    <xf numFmtId="0" fontId="12" fillId="0" borderId="12" xfId="15" applyFont="1" applyFill="1" applyBorder="1">
      <alignment vertical="center"/>
    </xf>
    <xf numFmtId="0" fontId="12" fillId="0" borderId="0" xfId="15" applyFont="1" applyBorder="1">
      <alignment vertical="center"/>
    </xf>
    <xf numFmtId="0" fontId="12" fillId="0" borderId="0" xfId="15" applyFont="1" applyFill="1" applyBorder="1">
      <alignment vertical="center"/>
    </xf>
    <xf numFmtId="0" fontId="12" fillId="0" borderId="11" xfId="15" applyFont="1" applyFill="1" applyBorder="1">
      <alignment vertical="center"/>
    </xf>
    <xf numFmtId="0" fontId="62" fillId="20" borderId="15" xfId="17" applyFont="1" applyFill="1">
      <alignment horizontal="left" wrapText="1"/>
    </xf>
    <xf numFmtId="0" fontId="23" fillId="12" borderId="17" xfId="3" applyFont="1" applyBorder="1">
      <alignment vertical="center"/>
    </xf>
    <xf numFmtId="0" fontId="23" fillId="12" borderId="39" xfId="3" applyFont="1" applyBorder="1" applyAlignment="1">
      <alignment vertical="center"/>
    </xf>
    <xf numFmtId="0" fontId="23" fillId="12" borderId="50" xfId="3" applyFont="1" applyBorder="1" applyAlignment="1">
      <alignment vertical="center"/>
    </xf>
    <xf numFmtId="0" fontId="24" fillId="0" borderId="35" xfId="15" applyFont="1" applyFill="1" applyBorder="1">
      <alignment vertical="center"/>
    </xf>
    <xf numFmtId="0" fontId="24" fillId="0" borderId="35" xfId="15" applyFont="1" applyFill="1" applyBorder="1" applyAlignment="1">
      <alignment vertical="center"/>
    </xf>
    <xf numFmtId="0" fontId="23" fillId="12" borderId="52" xfId="3" applyFont="1" applyBorder="1">
      <alignment vertical="center"/>
    </xf>
    <xf numFmtId="0" fontId="23" fillId="12" borderId="62" xfId="3" applyFont="1" applyBorder="1" applyAlignment="1">
      <alignment vertical="center"/>
    </xf>
    <xf numFmtId="0" fontId="23" fillId="12" borderId="53" xfId="3" applyFont="1" applyBorder="1" applyAlignment="1">
      <alignment vertical="center"/>
    </xf>
    <xf numFmtId="0" fontId="23" fillId="2" borderId="3" xfId="37" applyFont="1" applyBorder="1">
      <alignment vertical="center"/>
    </xf>
    <xf numFmtId="0" fontId="23" fillId="12" borderId="72" xfId="3" applyFont="1" applyBorder="1">
      <alignment vertical="center"/>
    </xf>
    <xf numFmtId="0" fontId="23" fillId="12" borderId="72" xfId="3" applyFont="1" applyBorder="1" applyAlignment="1">
      <alignment vertical="center"/>
    </xf>
    <xf numFmtId="0" fontId="23" fillId="12" borderId="74" xfId="3" applyFont="1" applyBorder="1" applyAlignment="1">
      <alignment vertical="center"/>
    </xf>
    <xf numFmtId="0" fontId="23" fillId="12" borderId="73" xfId="3" applyFont="1" applyBorder="1">
      <alignment vertical="center"/>
    </xf>
    <xf numFmtId="0" fontId="82" fillId="0" borderId="0" xfId="15" applyFont="1" applyBorder="1" applyAlignment="1"/>
    <xf numFmtId="0" fontId="12" fillId="0" borderId="14" xfId="15" applyFont="1" applyFill="1" applyBorder="1">
      <alignment vertical="center"/>
    </xf>
    <xf numFmtId="0" fontId="12" fillId="0" borderId="0" xfId="15" applyFont="1" applyFill="1" applyBorder="1" applyAlignment="1">
      <alignment horizontal="left" vertical="center"/>
    </xf>
    <xf numFmtId="0" fontId="66" fillId="6" borderId="8" xfId="0" applyFont="1" applyFill="1" applyBorder="1" applyAlignment="1">
      <alignment horizontal="right" vertical="center"/>
    </xf>
    <xf numFmtId="0" fontId="12" fillId="0" borderId="22" xfId="15" applyFont="1" applyFill="1" applyBorder="1" applyAlignment="1">
      <alignment vertical="top"/>
    </xf>
    <xf numFmtId="0" fontId="12" fillId="0" borderId="21" xfId="15" applyFont="1" applyFill="1" applyBorder="1" applyAlignment="1">
      <alignment vertical="top"/>
    </xf>
    <xf numFmtId="0" fontId="12" fillId="5" borderId="0" xfId="15" applyFont="1" applyFill="1">
      <alignment vertical="center"/>
    </xf>
    <xf numFmtId="0" fontId="68" fillId="18" borderId="0" xfId="0" applyFont="1" applyFill="1" applyAlignment="1"/>
    <xf numFmtId="0" fontId="68" fillId="18" borderId="0" xfId="0" applyFont="1" applyFill="1" applyAlignment="1">
      <alignment horizontal="left" indent="5"/>
    </xf>
    <xf numFmtId="0" fontId="8" fillId="19" borderId="0" xfId="1" applyFont="1" applyFill="1" applyAlignment="1">
      <alignment horizontal="left" indent="5"/>
    </xf>
    <xf numFmtId="0" fontId="0" fillId="0" borderId="0" xfId="0" applyFont="1" applyFill="1" applyBorder="1">
      <alignment vertical="center"/>
    </xf>
    <xf numFmtId="0" fontId="0" fillId="0" borderId="43" xfId="0" applyFont="1" applyFill="1" applyBorder="1">
      <alignment vertical="center"/>
    </xf>
    <xf numFmtId="0" fontId="0" fillId="4" borderId="11" xfId="0" applyFont="1" applyFill="1" applyBorder="1">
      <alignment vertical="center"/>
    </xf>
    <xf numFmtId="0" fontId="0" fillId="4" borderId="0" xfId="0" applyFont="1" applyFill="1">
      <alignment vertical="center"/>
    </xf>
    <xf numFmtId="0" fontId="26" fillId="4" borderId="7" xfId="0" applyFont="1" applyFill="1" applyBorder="1" applyAlignment="1">
      <alignment vertical="top" wrapText="1"/>
    </xf>
    <xf numFmtId="0" fontId="0" fillId="4" borderId="0" xfId="0" applyFont="1" applyFill="1" applyBorder="1">
      <alignment vertical="center"/>
    </xf>
    <xf numFmtId="0" fontId="0" fillId="4" borderId="14" xfId="0" applyFont="1" applyFill="1" applyBorder="1">
      <alignment vertical="center"/>
    </xf>
    <xf numFmtId="0" fontId="48" fillId="0" borderId="47" xfId="15" applyFont="1" applyFill="1" applyBorder="1" applyAlignment="1">
      <alignment vertical="top"/>
    </xf>
    <xf numFmtId="0" fontId="27" fillId="19" borderId="0" xfId="1" applyFont="1" applyFill="1" applyAlignment="1">
      <alignment vertical="center"/>
    </xf>
    <xf numFmtId="0" fontId="12" fillId="4" borderId="0" xfId="15" applyFont="1" applyFill="1">
      <alignment vertical="center"/>
    </xf>
    <xf numFmtId="0" fontId="83" fillId="4" borderId="0" xfId="15" applyFont="1" applyFill="1">
      <alignment vertical="center"/>
    </xf>
    <xf numFmtId="0" fontId="83" fillId="4" borderId="3" xfId="15" applyFont="1" applyFill="1" applyBorder="1">
      <alignment vertical="center"/>
    </xf>
    <xf numFmtId="0" fontId="0" fillId="4" borderId="21" xfId="0" applyFont="1" applyFill="1" applyBorder="1">
      <alignment vertical="center"/>
    </xf>
    <xf numFmtId="0" fontId="8" fillId="19" borderId="0" xfId="31" applyFont="1" applyFill="1" applyAlignment="1">
      <alignment horizontal="left" vertical="center" indent="5"/>
    </xf>
    <xf numFmtId="0" fontId="8" fillId="19" borderId="0" xfId="31" applyFont="1" applyFill="1" applyAlignment="1">
      <alignment vertical="center"/>
    </xf>
    <xf numFmtId="0" fontId="8" fillId="19" borderId="0" xfId="31" applyFont="1" applyFill="1" applyAlignment="1">
      <alignment horizontal="left" indent="5"/>
    </xf>
    <xf numFmtId="0" fontId="0" fillId="4" borderId="0" xfId="0" applyFont="1" applyFill="1" applyBorder="1" applyAlignment="1">
      <alignment vertical="center"/>
    </xf>
    <xf numFmtId="0" fontId="0" fillId="4" borderId="11" xfId="0" applyFont="1" applyFill="1" applyBorder="1" applyAlignment="1">
      <alignment vertical="center"/>
    </xf>
    <xf numFmtId="14" fontId="39" fillId="0" borderId="78" xfId="0" applyNumberFormat="1" applyFont="1" applyBorder="1" applyAlignment="1" applyProtection="1">
      <alignment horizontal="left" vertical="top" wrapText="1"/>
    </xf>
    <xf numFmtId="0" fontId="39" fillId="0" borderId="79" xfId="0" applyFont="1" applyBorder="1" applyAlignment="1" applyProtection="1">
      <alignment vertical="top" wrapText="1"/>
    </xf>
    <xf numFmtId="0" fontId="39" fillId="0" borderId="80" xfId="0" applyFont="1" applyFill="1" applyBorder="1" applyAlignment="1" applyProtection="1">
      <alignment vertical="top" wrapText="1"/>
    </xf>
    <xf numFmtId="0" fontId="39" fillId="0" borderId="80" xfId="0" applyFont="1" applyBorder="1" applyAlignment="1" applyProtection="1">
      <alignment vertical="top" wrapText="1"/>
    </xf>
    <xf numFmtId="0" fontId="46" fillId="20" borderId="78" xfId="35" applyFont="1" applyFill="1" applyBorder="1" applyAlignment="1">
      <alignment horizontal="left" vertical="center" wrapText="1"/>
    </xf>
    <xf numFmtId="0" fontId="46" fillId="20" borderId="79" xfId="35" applyFont="1" applyFill="1" applyBorder="1" applyAlignment="1">
      <alignment horizontal="left" vertical="center" wrapText="1"/>
    </xf>
    <xf numFmtId="0" fontId="46" fillId="20" borderId="80" xfId="35" applyFont="1" applyFill="1" applyBorder="1" applyAlignment="1">
      <alignment horizontal="left" vertical="center" wrapText="1"/>
    </xf>
    <xf numFmtId="0" fontId="12" fillId="0" borderId="0" xfId="32" applyFont="1" applyAlignment="1">
      <alignment horizontal="right" vertical="top"/>
    </xf>
    <xf numFmtId="0" fontId="23" fillId="2" borderId="7" xfId="0" applyFont="1" applyFill="1" applyBorder="1" applyAlignment="1">
      <alignment vertical="top" wrapText="1"/>
    </xf>
    <xf numFmtId="0" fontId="26" fillId="2" borderId="7" xfId="0" applyFont="1" applyFill="1" applyBorder="1" applyAlignment="1">
      <alignment vertical="top" wrapText="1"/>
    </xf>
    <xf numFmtId="0" fontId="83" fillId="2" borderId="3" xfId="15" applyFont="1" applyFill="1" applyBorder="1">
      <alignment vertical="center"/>
    </xf>
    <xf numFmtId="0" fontId="83" fillId="2" borderId="3" xfId="15" applyFont="1" applyFill="1" applyBorder="1" applyAlignment="1">
      <alignment vertical="center" wrapText="1"/>
    </xf>
    <xf numFmtId="0" fontId="0" fillId="4" borderId="0" xfId="0" applyFont="1" applyFill="1" applyAlignment="1">
      <alignment horizontal="left"/>
    </xf>
    <xf numFmtId="0" fontId="0" fillId="4" borderId="11" xfId="0" applyFont="1" applyFill="1" applyBorder="1" applyAlignment="1">
      <alignment horizontal="left"/>
    </xf>
    <xf numFmtId="0" fontId="33" fillId="5" borderId="0" xfId="0" applyFont="1" applyFill="1" applyAlignment="1">
      <alignment horizontal="left"/>
    </xf>
    <xf numFmtId="0" fontId="62" fillId="20" borderId="82" xfId="38" applyFont="1" applyFill="1" applyBorder="1" applyAlignment="1">
      <alignment horizontal="left" wrapText="1"/>
    </xf>
    <xf numFmtId="0" fontId="0" fillId="4" borderId="14" xfId="0" applyFont="1" applyFill="1" applyBorder="1" applyAlignment="1">
      <alignment vertical="center"/>
    </xf>
    <xf numFmtId="0" fontId="48" fillId="0" borderId="47" xfId="15" applyFont="1" applyFill="1" applyBorder="1" applyAlignment="1">
      <alignment vertical="center"/>
    </xf>
    <xf numFmtId="0" fontId="33" fillId="5" borderId="0" xfId="0" applyFont="1" applyFill="1" applyAlignment="1">
      <alignment vertical="center"/>
    </xf>
    <xf numFmtId="0" fontId="23" fillId="4" borderId="0" xfId="0" applyFont="1" applyFill="1" applyBorder="1" applyAlignment="1">
      <alignment vertical="center" wrapText="1"/>
    </xf>
    <xf numFmtId="0" fontId="33" fillId="5" borderId="0" xfId="0" applyFont="1" applyFill="1" applyBorder="1">
      <alignment vertical="center"/>
    </xf>
    <xf numFmtId="0" fontId="62" fillId="20" borderId="81" xfId="38" applyFont="1" applyFill="1" applyBorder="1" applyAlignment="1">
      <alignment horizontal="left" vertical="center" wrapText="1"/>
    </xf>
    <xf numFmtId="0" fontId="23" fillId="4" borderId="83" xfId="0" applyFont="1" applyFill="1" applyBorder="1" applyAlignment="1">
      <alignment vertical="top" wrapText="1"/>
    </xf>
    <xf numFmtId="0" fontId="28" fillId="0" borderId="85" xfId="0" applyFont="1" applyFill="1" applyBorder="1" applyAlignment="1">
      <alignment horizontal="left" vertical="center" wrapText="1"/>
    </xf>
    <xf numFmtId="0" fontId="0" fillId="0" borderId="85" xfId="0" applyFont="1" applyBorder="1">
      <alignment vertical="center"/>
    </xf>
    <xf numFmtId="0" fontId="62" fillId="20" borderId="81" xfId="38" applyFont="1" applyFill="1" applyBorder="1" applyAlignment="1">
      <alignment horizontal="left" wrapText="1"/>
    </xf>
    <xf numFmtId="0" fontId="28" fillId="2" borderId="86" xfId="0" applyFont="1" applyFill="1" applyBorder="1" applyAlignment="1">
      <alignment horizontal="left" vertical="center"/>
    </xf>
    <xf numFmtId="0" fontId="23" fillId="2" borderId="10" xfId="0" applyFont="1" applyFill="1" applyBorder="1" applyAlignment="1">
      <alignment horizontal="left" vertical="center" wrapText="1"/>
    </xf>
    <xf numFmtId="0" fontId="28" fillId="0" borderId="86" xfId="0" applyFont="1" applyBorder="1" applyAlignment="1">
      <alignment horizontal="left" vertical="center"/>
    </xf>
    <xf numFmtId="0" fontId="23" fillId="4" borderId="10" xfId="0" applyFont="1" applyFill="1" applyBorder="1" applyAlignment="1">
      <alignment horizontal="left" vertical="center" wrapText="1"/>
    </xf>
    <xf numFmtId="0" fontId="28" fillId="0" borderId="87" xfId="0" applyFont="1" applyBorder="1" applyAlignment="1">
      <alignment horizontal="left" vertical="center"/>
    </xf>
    <xf numFmtId="0" fontId="28" fillId="0" borderId="88" xfId="0" applyFont="1" applyBorder="1" applyAlignment="1">
      <alignment vertical="center"/>
    </xf>
    <xf numFmtId="0" fontId="71" fillId="0" borderId="89" xfId="0" applyFont="1" applyBorder="1" applyAlignment="1" applyProtection="1">
      <alignment horizontal="center" vertical="center" wrapText="1"/>
      <protection locked="0"/>
    </xf>
    <xf numFmtId="0" fontId="26" fillId="0" borderId="89" xfId="25" applyFont="1" applyBorder="1" applyAlignment="1">
      <alignment horizontal="left" vertical="center" wrapText="1"/>
      <protection locked="0"/>
    </xf>
    <xf numFmtId="0" fontId="26" fillId="0" borderId="89" xfId="25" applyFont="1" applyBorder="1">
      <alignment horizontal="left" vertical="center" wrapText="1" indent="1"/>
      <protection locked="0"/>
    </xf>
    <xf numFmtId="0" fontId="24" fillId="2" borderId="7" xfId="0" applyFont="1" applyFill="1" applyBorder="1" applyAlignment="1">
      <alignment vertical="top" wrapText="1"/>
    </xf>
    <xf numFmtId="0" fontId="24" fillId="4" borderId="7" xfId="0" applyFont="1" applyFill="1" applyBorder="1" applyAlignment="1">
      <alignment vertical="top" wrapText="1"/>
    </xf>
    <xf numFmtId="0" fontId="28" fillId="2" borderId="7" xfId="0" applyFont="1" applyFill="1" applyBorder="1" applyAlignment="1">
      <alignment vertical="top"/>
    </xf>
    <xf numFmtId="0" fontId="0" fillId="2" borderId="7" xfId="0" applyFont="1" applyFill="1" applyBorder="1" applyAlignment="1">
      <alignment vertical="top"/>
    </xf>
    <xf numFmtId="0" fontId="28" fillId="0" borderId="7" xfId="0" applyFont="1" applyBorder="1" applyAlignment="1">
      <alignment vertical="top"/>
    </xf>
    <xf numFmtId="0" fontId="0" fillId="0" borderId="7" xfId="0" applyFont="1" applyBorder="1" applyAlignment="1">
      <alignment vertical="top"/>
    </xf>
    <xf numFmtId="0" fontId="28" fillId="0" borderId="7" xfId="0" applyFont="1" applyBorder="1" applyAlignment="1">
      <alignment vertical="top" wrapText="1"/>
    </xf>
    <xf numFmtId="0" fontId="28" fillId="2" borderId="7" xfId="0" applyFont="1" applyFill="1" applyBorder="1" applyAlignment="1">
      <alignment vertical="top" wrapText="1"/>
    </xf>
    <xf numFmtId="0" fontId="28" fillId="0" borderId="7" xfId="0" applyFont="1" applyFill="1" applyBorder="1" applyAlignment="1">
      <alignment horizontal="left" vertical="top" wrapText="1"/>
    </xf>
    <xf numFmtId="0" fontId="9" fillId="18" borderId="0" xfId="0" applyFont="1" applyFill="1" applyBorder="1" applyAlignment="1">
      <alignment horizontal="left" indent="3"/>
    </xf>
    <xf numFmtId="0" fontId="27" fillId="19" borderId="0" xfId="1" applyFont="1" applyFill="1" applyAlignment="1">
      <alignment horizontal="left" indent="3"/>
    </xf>
    <xf numFmtId="0" fontId="87" fillId="0" borderId="0" xfId="32" applyFont="1" applyAlignment="1">
      <alignment vertical="top"/>
    </xf>
    <xf numFmtId="0" fontId="39" fillId="0" borderId="0" xfId="0" applyFont="1" applyAlignment="1" applyProtection="1">
      <alignment horizontal="left" vertical="top" indent="1"/>
    </xf>
    <xf numFmtId="0" fontId="87" fillId="0" borderId="0" xfId="32" applyFont="1" applyAlignment="1">
      <alignment horizontal="right" vertical="top"/>
    </xf>
    <xf numFmtId="0" fontId="39" fillId="0" borderId="0" xfId="0" applyFont="1" applyAlignment="1" applyProtection="1">
      <alignment horizontal="left" vertical="center" indent="1"/>
    </xf>
    <xf numFmtId="0" fontId="87" fillId="0" borderId="0" xfId="32" applyFont="1" applyAlignment="1">
      <alignment horizontal="right" vertical="center"/>
    </xf>
    <xf numFmtId="0" fontId="39" fillId="0" borderId="0" xfId="0" applyFont="1" applyBorder="1" applyAlignment="1" applyProtection="1">
      <alignment horizontal="left" vertical="center" wrapText="1" indent="3"/>
    </xf>
    <xf numFmtId="0" fontId="12" fillId="0" borderId="0" xfId="32" applyFont="1" applyAlignment="1">
      <alignment horizontal="left" vertical="center" wrapText="1" indent="3"/>
    </xf>
    <xf numFmtId="0" fontId="12" fillId="0" borderId="0" xfId="32" applyFont="1" applyFill="1" applyAlignment="1">
      <alignment horizontal="left" vertical="center" wrapText="1" indent="3"/>
    </xf>
    <xf numFmtId="0" fontId="68" fillId="18" borderId="0" xfId="15" applyFont="1" applyFill="1" applyAlignment="1">
      <alignment horizontal="left" indent="3"/>
    </xf>
    <xf numFmtId="0" fontId="8" fillId="19" borderId="0" xfId="1" applyFont="1" applyFill="1" applyAlignment="1">
      <alignment horizontal="left" vertical="center" indent="3"/>
    </xf>
    <xf numFmtId="0" fontId="8" fillId="19" borderId="0" xfId="1" applyFont="1" applyFill="1" applyAlignment="1">
      <alignment horizontal="left" indent="3"/>
    </xf>
    <xf numFmtId="0" fontId="0" fillId="18" borderId="0" xfId="0" applyFont="1" applyFill="1" applyAlignment="1">
      <alignment horizontal="left" vertical="center" indent="3"/>
    </xf>
    <xf numFmtId="0" fontId="27" fillId="19" borderId="0" xfId="1" applyFont="1" applyFill="1" applyAlignment="1">
      <alignment horizontal="left" vertical="center" indent="3"/>
    </xf>
    <xf numFmtId="0" fontId="47" fillId="0" borderId="6" xfId="7" applyFont="1" applyBorder="1" applyAlignment="1" applyProtection="1">
      <alignment horizontal="left" vertical="center" wrapText="1"/>
    </xf>
    <xf numFmtId="0" fontId="47" fillId="7" borderId="6" xfId="7" applyFont="1" applyFill="1" applyBorder="1" applyAlignment="1" applyProtection="1">
      <alignment horizontal="left" vertical="center" wrapText="1"/>
    </xf>
    <xf numFmtId="0" fontId="47" fillId="7" borderId="5" xfId="7" applyFont="1" applyFill="1" applyBorder="1" applyAlignment="1" applyProtection="1">
      <alignment horizontal="left" vertical="center" wrapText="1"/>
    </xf>
    <xf numFmtId="0" fontId="48" fillId="0" borderId="14" xfId="0" applyFont="1" applyFill="1" applyBorder="1" applyAlignment="1" applyProtection="1">
      <alignment horizontal="centerContinuous" vertical="top"/>
    </xf>
    <xf numFmtId="0" fontId="62" fillId="20" borderId="6" xfId="2" applyFont="1" applyFill="1" applyBorder="1" applyAlignment="1" applyProtection="1">
      <alignment vertical="center"/>
    </xf>
    <xf numFmtId="0" fontId="62" fillId="20" borderId="5" xfId="2" applyFont="1" applyFill="1" applyBorder="1" applyAlignment="1" applyProtection="1">
      <alignment vertical="center"/>
    </xf>
    <xf numFmtId="0" fontId="48" fillId="0" borderId="0" xfId="0" applyFont="1" applyFill="1" applyBorder="1" applyAlignment="1" applyProtection="1">
      <alignment horizontal="centerContinuous" vertical="top"/>
    </xf>
    <xf numFmtId="0" fontId="48" fillId="0" borderId="14" xfId="15" applyFont="1" applyFill="1" applyBorder="1" applyAlignment="1">
      <alignment horizontal="centerContinuous" vertical="top"/>
    </xf>
    <xf numFmtId="0" fontId="48" fillId="0" borderId="9" xfId="15" applyFont="1" applyFill="1" applyBorder="1" applyAlignment="1">
      <alignment horizontal="centerContinuous" vertical="top"/>
    </xf>
    <xf numFmtId="0" fontId="84" fillId="0" borderId="48" xfId="15" applyFont="1" applyFill="1" applyBorder="1" applyAlignment="1">
      <alignment horizontal="centerContinuous" vertical="center"/>
    </xf>
    <xf numFmtId="0" fontId="48" fillId="0" borderId="84" xfId="15" applyFont="1" applyFill="1" applyBorder="1" applyAlignment="1">
      <alignment horizontal="centerContinuous" vertical="center"/>
    </xf>
    <xf numFmtId="0" fontId="48" fillId="0" borderId="66" xfId="15" applyFont="1" applyFill="1" applyBorder="1" applyAlignment="1">
      <alignment horizontal="centerContinuous" vertical="top"/>
    </xf>
    <xf numFmtId="0" fontId="12" fillId="0" borderId="71" xfId="32" applyFont="1" applyBorder="1" applyAlignment="1">
      <alignment horizontal="left" vertical="center" indent="3"/>
    </xf>
    <xf numFmtId="0" fontId="0" fillId="0" borderId="0" xfId="32" applyFont="1" applyAlignment="1">
      <alignment horizontal="left" vertical="center" indent="3"/>
    </xf>
    <xf numFmtId="0" fontId="12" fillId="0" borderId="0" xfId="32" applyFont="1" applyAlignment="1">
      <alignment horizontal="left" vertical="center" indent="3"/>
    </xf>
    <xf numFmtId="0" fontId="39" fillId="0" borderId="0" xfId="0" applyFont="1" applyBorder="1" applyAlignment="1" applyProtection="1">
      <alignment vertical="center"/>
    </xf>
    <xf numFmtId="0" fontId="60" fillId="0" borderId="23" xfId="3" applyFont="1" applyFill="1" applyBorder="1" applyAlignment="1" applyProtection="1">
      <alignment vertical="center"/>
    </xf>
    <xf numFmtId="0" fontId="0" fillId="12" borderId="39" xfId="21" applyFont="1" applyAlignment="1">
      <alignment vertical="center"/>
    </xf>
    <xf numFmtId="0" fontId="0" fillId="12" borderId="0" xfId="21" applyFont="1" applyBorder="1" applyAlignment="1">
      <alignment vertical="center"/>
    </xf>
    <xf numFmtId="0" fontId="49" fillId="12" borderId="16" xfId="3" applyFont="1" applyAlignment="1">
      <alignment vertical="top"/>
    </xf>
    <xf numFmtId="0" fontId="49" fillId="12" borderId="27" xfId="3" applyFont="1" applyBorder="1" applyAlignment="1">
      <alignment vertical="top"/>
    </xf>
    <xf numFmtId="0" fontId="0" fillId="0" borderId="0" xfId="36" applyFont="1" applyAlignment="1">
      <alignment horizontal="left" vertical="center" indent="3"/>
    </xf>
    <xf numFmtId="0" fontId="24" fillId="0" borderId="0" xfId="36" applyFont="1" applyAlignment="1">
      <alignment horizontal="left" vertical="center" indent="3"/>
    </xf>
    <xf numFmtId="0" fontId="12" fillId="0" borderId="0" xfId="32" applyFont="1" applyAlignment="1">
      <alignment horizontal="left" vertical="top" indent="3"/>
    </xf>
    <xf numFmtId="0" fontId="12" fillId="0" borderId="0" xfId="32" applyFont="1" applyAlignment="1">
      <alignment horizontal="left" vertical="center"/>
    </xf>
    <xf numFmtId="0" fontId="9" fillId="7" borderId="5" xfId="7" applyFont="1" applyFill="1" applyBorder="1" applyProtection="1">
      <alignment horizontal="left" vertical="center" wrapText="1" indent="1"/>
    </xf>
    <xf numFmtId="164" fontId="26" fillId="0" borderId="93" xfId="7" applyNumberFormat="1" applyFont="1" applyBorder="1" applyProtection="1">
      <alignment horizontal="left" vertical="center" wrapText="1" indent="1"/>
    </xf>
    <xf numFmtId="0" fontId="0" fillId="12" borderId="39" xfId="20" applyFont="1" applyBorder="1" applyAlignment="1">
      <alignment vertical="center"/>
    </xf>
    <xf numFmtId="0" fontId="24" fillId="12" borderId="0" xfId="20" applyFont="1" applyBorder="1" applyAlignment="1">
      <alignment vertical="center"/>
    </xf>
    <xf numFmtId="0" fontId="0" fillId="12" borderId="0" xfId="20" applyFont="1" applyBorder="1" applyAlignment="1">
      <alignment vertical="center"/>
    </xf>
    <xf numFmtId="0" fontId="0" fillId="12" borderId="39" xfId="20" applyFont="1" applyBorder="1" applyAlignment="1">
      <alignment vertical="top"/>
    </xf>
    <xf numFmtId="0" fontId="0" fillId="12" borderId="0" xfId="20" applyFont="1" applyBorder="1" applyAlignment="1">
      <alignment vertical="top"/>
    </xf>
    <xf numFmtId="0" fontId="73" fillId="12" borderId="51" xfId="0" applyFont="1" applyFill="1" applyBorder="1" applyAlignment="1" applyProtection="1">
      <alignment vertical="top"/>
    </xf>
    <xf numFmtId="0" fontId="73" fillId="12" borderId="40" xfId="0" applyFont="1" applyFill="1" applyBorder="1" applyAlignment="1" applyProtection="1">
      <alignment vertical="top"/>
    </xf>
    <xf numFmtId="0" fontId="58" fillId="12" borderId="39" xfId="5" applyFont="1" applyFill="1" applyBorder="1" applyAlignment="1">
      <alignment vertical="top"/>
    </xf>
    <xf numFmtId="0" fontId="58" fillId="12" borderId="0" xfId="5" applyFont="1" applyFill="1" applyBorder="1" applyAlignment="1">
      <alignment vertical="top"/>
    </xf>
    <xf numFmtId="0" fontId="73" fillId="12" borderId="0" xfId="0" applyFont="1" applyFill="1" applyBorder="1" applyAlignment="1" applyProtection="1">
      <alignment vertical="top"/>
    </xf>
    <xf numFmtId="0" fontId="73" fillId="12" borderId="45" xfId="0" applyFont="1" applyFill="1" applyBorder="1" applyAlignment="1" applyProtection="1">
      <alignment vertical="top"/>
    </xf>
    <xf numFmtId="0" fontId="27" fillId="19" borderId="0" xfId="1" applyFont="1" applyFill="1" applyAlignment="1">
      <alignment horizontal="left" vertical="top" indent="3"/>
    </xf>
    <xf numFmtId="0" fontId="0" fillId="12" borderId="25" xfId="20" applyFont="1" applyBorder="1" applyAlignment="1">
      <alignment vertical="center"/>
    </xf>
    <xf numFmtId="0" fontId="0" fillId="12" borderId="51" xfId="20" applyFont="1" applyBorder="1" applyAlignment="1">
      <alignment vertical="center"/>
    </xf>
    <xf numFmtId="0" fontId="26" fillId="0" borderId="9" xfId="0" applyFont="1" applyFill="1" applyBorder="1" applyAlignment="1">
      <alignment horizontal="left" vertical="center" indent="1"/>
    </xf>
    <xf numFmtId="0" fontId="26" fillId="0" borderId="46" xfId="0" applyFont="1" applyFill="1" applyBorder="1" applyAlignment="1">
      <alignment horizontal="left" vertical="center" indent="1"/>
    </xf>
    <xf numFmtId="0" fontId="88" fillId="0" borderId="0" xfId="0" applyFont="1" applyFill="1" applyBorder="1" applyAlignment="1">
      <alignment horizontal="centerContinuous" vertical="center"/>
    </xf>
    <xf numFmtId="0" fontId="88" fillId="0" borderId="14" xfId="0" applyFont="1" applyFill="1" applyBorder="1" applyAlignment="1" applyProtection="1">
      <alignment horizontal="centerContinuous" vertical="top"/>
    </xf>
    <xf numFmtId="0" fontId="88" fillId="0" borderId="0" xfId="0" applyFont="1" applyFill="1" applyBorder="1" applyAlignment="1" applyProtection="1">
      <alignment horizontal="centerContinuous" vertical="top"/>
    </xf>
    <xf numFmtId="0" fontId="88" fillId="0" borderId="14" xfId="15" applyFont="1" applyFill="1" applyBorder="1" applyAlignment="1">
      <alignment horizontal="centerContinuous" vertical="top"/>
    </xf>
    <xf numFmtId="0" fontId="88" fillId="0" borderId="9" xfId="15" applyFont="1" applyFill="1" applyBorder="1" applyAlignment="1">
      <alignment horizontal="centerContinuous" vertical="center"/>
    </xf>
    <xf numFmtId="0" fontId="80" fillId="0" borderId="48" xfId="15" applyFont="1" applyFill="1" applyBorder="1" applyAlignment="1">
      <alignment horizontal="centerContinuous" vertical="center"/>
    </xf>
    <xf numFmtId="0" fontId="88" fillId="0" borderId="0" xfId="15" applyFont="1" applyFill="1" applyBorder="1" applyAlignment="1">
      <alignment horizontal="centerContinuous" vertical="center"/>
    </xf>
    <xf numFmtId="164" fontId="65" fillId="0" borderId="69" xfId="7" applyNumberFormat="1" applyFont="1" applyFill="1" applyBorder="1" applyProtection="1">
      <alignment horizontal="left" vertical="center" wrapText="1" indent="1"/>
      <protection locked="0"/>
    </xf>
    <xf numFmtId="0" fontId="12" fillId="12" borderId="0" xfId="32" applyFont="1" applyFill="1" applyAlignment="1">
      <alignment horizontal="left" vertical="center" indent="5"/>
    </xf>
    <xf numFmtId="0" fontId="39" fillId="12" borderId="11" xfId="0" applyFont="1" applyFill="1" applyBorder="1" applyProtection="1">
      <alignment vertical="center"/>
    </xf>
    <xf numFmtId="14" fontId="39" fillId="12" borderId="78" xfId="0" applyNumberFormat="1" applyFont="1" applyFill="1" applyBorder="1" applyAlignment="1" applyProtection="1">
      <alignment horizontal="left" vertical="top" wrapText="1"/>
    </xf>
    <xf numFmtId="0" fontId="39" fillId="12" borderId="79" xfId="0" applyFont="1" applyFill="1" applyBorder="1" applyAlignment="1" applyProtection="1">
      <alignment vertical="top" wrapText="1"/>
    </xf>
    <xf numFmtId="0" fontId="39" fillId="12" borderId="80" xfId="0" applyFont="1" applyFill="1" applyBorder="1" applyAlignment="1" applyProtection="1">
      <alignment vertical="top" wrapText="1"/>
    </xf>
    <xf numFmtId="0" fontId="53" fillId="12" borderId="58" xfId="33" applyFont="1" applyFill="1" applyBorder="1" applyAlignment="1">
      <alignment horizontal="left" vertical="center" indent="3"/>
    </xf>
    <xf numFmtId="0" fontId="53" fillId="12" borderId="65" xfId="33" applyFont="1" applyFill="1" applyBorder="1" applyAlignment="1">
      <alignment horizontal="left" vertical="center" indent="3"/>
    </xf>
    <xf numFmtId="0" fontId="87" fillId="0" borderId="0" xfId="32" applyFont="1" applyAlignment="1">
      <alignment horizontal="left" vertical="center" indent="4"/>
    </xf>
    <xf numFmtId="0" fontId="54" fillId="12" borderId="0" xfId="0" applyFont="1" applyFill="1" applyBorder="1" applyAlignment="1" applyProtection="1"/>
    <xf numFmtId="0" fontId="54" fillId="12" borderId="11" xfId="0" applyFont="1" applyFill="1" applyBorder="1" applyAlignment="1" applyProtection="1"/>
    <xf numFmtId="0" fontId="57" fillId="12" borderId="0" xfId="0" applyFont="1" applyFill="1" applyBorder="1" applyAlignment="1" applyProtection="1">
      <alignment horizontal="left" vertical="center" indent="1"/>
    </xf>
    <xf numFmtId="0" fontId="57" fillId="12" borderId="11" xfId="0" applyFont="1" applyFill="1" applyBorder="1" applyProtection="1">
      <alignment vertical="center"/>
    </xf>
    <xf numFmtId="0" fontId="44" fillId="12" borderId="0" xfId="5" applyFont="1" applyFill="1" applyBorder="1" applyAlignment="1" applyProtection="1">
      <alignment vertical="center"/>
    </xf>
    <xf numFmtId="0" fontId="57" fillId="12" borderId="0" xfId="0" applyFont="1" applyFill="1" applyBorder="1" applyAlignment="1" applyProtection="1">
      <alignment horizontal="left" vertical="top" indent="1"/>
    </xf>
    <xf numFmtId="0" fontId="57" fillId="12" borderId="11" xfId="0" applyFont="1" applyFill="1" applyBorder="1" applyAlignment="1" applyProtection="1">
      <alignment vertical="top"/>
    </xf>
    <xf numFmtId="0" fontId="44" fillId="12" borderId="0" xfId="5" applyFont="1" applyFill="1" applyBorder="1" applyAlignment="1" applyProtection="1">
      <alignment horizontal="left" indent="3"/>
    </xf>
    <xf numFmtId="0" fontId="13" fillId="12" borderId="0" xfId="4" applyFont="1" applyFill="1" applyBorder="1" applyProtection="1">
      <alignment horizontal="left" vertical="center"/>
    </xf>
    <xf numFmtId="0" fontId="69" fillId="12" borderId="0" xfId="0" applyFont="1" applyFill="1" applyBorder="1" applyAlignment="1" applyProtection="1"/>
    <xf numFmtId="0" fontId="69" fillId="12" borderId="0" xfId="0" applyFont="1" applyFill="1" applyBorder="1" applyAlignment="1" applyProtection="1">
      <alignment horizontal="center"/>
    </xf>
    <xf numFmtId="0" fontId="0" fillId="12" borderId="0" xfId="0" applyFont="1" applyFill="1" applyBorder="1" applyAlignment="1" applyProtection="1">
      <alignment vertical="center"/>
    </xf>
    <xf numFmtId="0" fontId="0" fillId="12" borderId="0" xfId="0" applyFont="1" applyFill="1" applyBorder="1" applyProtection="1">
      <alignment vertical="center"/>
    </xf>
    <xf numFmtId="0" fontId="0" fillId="12" borderId="0" xfId="0" applyFont="1" applyFill="1" applyBorder="1" applyAlignment="1" applyProtection="1">
      <alignment vertical="top"/>
    </xf>
    <xf numFmtId="0" fontId="0" fillId="12" borderId="0" xfId="0" applyFont="1" applyFill="1" applyAlignment="1" applyProtection="1">
      <alignment vertical="top"/>
    </xf>
    <xf numFmtId="0" fontId="50" fillId="12" borderId="0" xfId="4" applyFont="1" applyFill="1" applyBorder="1" applyAlignment="1" applyProtection="1">
      <alignment vertical="top"/>
    </xf>
    <xf numFmtId="0" fontId="50" fillId="12" borderId="0" xfId="4" applyFont="1" applyFill="1" applyBorder="1" applyAlignment="1" applyProtection="1">
      <alignment horizontal="left" vertical="top" wrapText="1"/>
    </xf>
    <xf numFmtId="0" fontId="49" fillId="12" borderId="0" xfId="0" applyFont="1" applyFill="1" applyBorder="1" applyAlignment="1" applyProtection="1">
      <alignment horizontal="left" vertical="top"/>
    </xf>
    <xf numFmtId="0" fontId="0" fillId="12" borderId="0" xfId="0" applyFont="1" applyFill="1" applyAlignment="1" applyProtection="1">
      <alignment horizontal="left" vertical="top" wrapText="1"/>
    </xf>
    <xf numFmtId="0" fontId="0" fillId="12" borderId="0" xfId="0" applyFont="1" applyFill="1" applyBorder="1" applyAlignment="1" applyProtection="1">
      <alignment horizontal="left" vertical="top"/>
    </xf>
    <xf numFmtId="0" fontId="45" fillId="12" borderId="0" xfId="13" applyFont="1" applyFill="1" applyProtection="1"/>
    <xf numFmtId="0" fontId="69" fillId="12" borderId="11" xfId="0" applyFont="1" applyFill="1" applyBorder="1" applyAlignment="1" applyProtection="1"/>
    <xf numFmtId="0" fontId="46" fillId="12" borderId="0" xfId="0" applyFont="1" applyFill="1" applyBorder="1" applyAlignment="1" applyProtection="1">
      <alignment horizontal="right" vertical="center"/>
    </xf>
    <xf numFmtId="0" fontId="0" fillId="12" borderId="0" xfId="9" applyFont="1" applyFill="1" applyAlignment="1">
      <alignment horizontal="left" vertical="center" indent="1"/>
    </xf>
    <xf numFmtId="0" fontId="75" fillId="12" borderId="0" xfId="0" applyFont="1" applyFill="1" applyBorder="1" applyAlignment="1" applyProtection="1">
      <alignment vertical="center" wrapText="1"/>
    </xf>
    <xf numFmtId="0" fontId="44" fillId="12" borderId="0" xfId="5" applyFont="1" applyFill="1" applyBorder="1" applyAlignment="1" applyProtection="1">
      <alignment vertical="center" wrapText="1"/>
    </xf>
    <xf numFmtId="0" fontId="0" fillId="12" borderId="11" xfId="0" applyFont="1" applyFill="1" applyBorder="1" applyAlignment="1" applyProtection="1">
      <alignment vertical="center"/>
    </xf>
    <xf numFmtId="0" fontId="75" fillId="12" borderId="0" xfId="0" applyFont="1" applyFill="1" applyBorder="1" applyAlignment="1" applyProtection="1">
      <alignment vertical="top"/>
    </xf>
    <xf numFmtId="0" fontId="65" fillId="12" borderId="0" xfId="0" applyFont="1" applyFill="1" applyBorder="1" applyAlignment="1" applyProtection="1">
      <alignment horizontal="left" vertical="top"/>
    </xf>
    <xf numFmtId="0" fontId="44" fillId="12" borderId="0" xfId="5" applyFont="1" applyFill="1" applyBorder="1" applyAlignment="1" applyProtection="1">
      <alignment horizontal="left" vertical="top"/>
    </xf>
    <xf numFmtId="0" fontId="0" fillId="12" borderId="11" xfId="0" applyFont="1" applyFill="1" applyBorder="1" applyAlignment="1" applyProtection="1">
      <alignment vertical="top"/>
    </xf>
    <xf numFmtId="0" fontId="0" fillId="12" borderId="0" xfId="39" applyFont="1" applyFill="1" applyAlignment="1">
      <alignment horizontal="left" vertical="center" indent="1"/>
    </xf>
    <xf numFmtId="0" fontId="46" fillId="12" borderId="0" xfId="0" applyFont="1" applyFill="1" applyBorder="1" applyAlignment="1" applyProtection="1">
      <alignment horizontal="right" vertical="top"/>
    </xf>
    <xf numFmtId="0" fontId="0" fillId="12" borderId="0" xfId="0" applyFont="1" applyFill="1" applyAlignment="1">
      <alignment horizontal="left" vertical="top" indent="1"/>
    </xf>
    <xf numFmtId="0" fontId="75" fillId="12" borderId="0" xfId="0" applyFont="1" applyFill="1" applyBorder="1" applyAlignment="1" applyProtection="1">
      <alignment vertical="top" wrapText="1"/>
    </xf>
    <xf numFmtId="0" fontId="24" fillId="12" borderId="0" xfId="15" applyFont="1" applyFill="1" applyBorder="1" applyAlignment="1">
      <alignment horizontal="left" vertical="center" indent="3"/>
    </xf>
    <xf numFmtId="0" fontId="12" fillId="12" borderId="11" xfId="15" applyFont="1" applyFill="1" applyBorder="1" applyAlignment="1"/>
    <xf numFmtId="0" fontId="24" fillId="12" borderId="0" xfId="15" applyFont="1" applyFill="1" applyBorder="1" applyAlignment="1">
      <alignment horizontal="left" vertical="top" indent="3"/>
    </xf>
    <xf numFmtId="0" fontId="0" fillId="12" borderId="0" xfId="15" applyFont="1" applyFill="1" applyBorder="1" applyAlignment="1">
      <alignment horizontal="left" vertical="top" indent="3"/>
    </xf>
    <xf numFmtId="0" fontId="12" fillId="12" borderId="11" xfId="15" applyFont="1" applyFill="1" applyBorder="1">
      <alignment vertical="center"/>
    </xf>
    <xf numFmtId="0" fontId="23" fillId="12" borderId="0" xfId="0" applyFont="1" applyFill="1" applyBorder="1" applyAlignment="1">
      <alignment horizontal="left" vertical="center" indent="3"/>
    </xf>
    <xf numFmtId="0" fontId="23" fillId="12" borderId="0" xfId="0" applyFont="1" applyFill="1" applyBorder="1" applyAlignment="1">
      <alignment vertical="center"/>
    </xf>
    <xf numFmtId="0" fontId="45" fillId="12" borderId="0" xfId="0" applyFont="1" applyFill="1" applyBorder="1" applyAlignment="1">
      <alignment vertical="center"/>
    </xf>
    <xf numFmtId="0" fontId="0" fillId="12" borderId="11" xfId="0" applyFont="1" applyFill="1" applyBorder="1">
      <alignment vertical="center"/>
    </xf>
    <xf numFmtId="0" fontId="24" fillId="12" borderId="0" xfId="15" applyFont="1" applyFill="1" applyAlignment="1">
      <alignment horizontal="left" vertical="center" indent="3"/>
    </xf>
    <xf numFmtId="0" fontId="24" fillId="12" borderId="0" xfId="15" applyFont="1" applyFill="1" applyAlignment="1">
      <alignment vertical="center" wrapText="1"/>
    </xf>
    <xf numFmtId="0" fontId="24" fillId="12" borderId="0" xfId="15" applyFont="1" applyFill="1" applyAlignment="1">
      <alignment horizontal="left" vertical="top" indent="3"/>
    </xf>
    <xf numFmtId="0" fontId="12" fillId="12" borderId="0" xfId="15" applyFont="1" applyFill="1" applyAlignment="1">
      <alignment vertical="top" wrapText="1"/>
    </xf>
    <xf numFmtId="0" fontId="24" fillId="12" borderId="0" xfId="15" applyFont="1" applyFill="1" applyAlignment="1">
      <alignment horizontal="left" vertical="top" indent="6"/>
    </xf>
    <xf numFmtId="0" fontId="24" fillId="12" borderId="0" xfId="0" applyFont="1" applyFill="1" applyBorder="1" applyAlignment="1">
      <alignment horizontal="left" vertical="center" indent="3"/>
    </xf>
    <xf numFmtId="0" fontId="0" fillId="12" borderId="0" xfId="0" applyFont="1" applyFill="1" applyBorder="1" applyAlignment="1">
      <alignment vertical="center"/>
    </xf>
    <xf numFmtId="0" fontId="89" fillId="12" borderId="0" xfId="0" applyFont="1" applyFill="1" applyBorder="1" applyAlignment="1" applyProtection="1">
      <alignment horizontal="left" indent="3"/>
    </xf>
    <xf numFmtId="0" fontId="58" fillId="12" borderId="0" xfId="5" applyFont="1" applyFill="1" applyBorder="1" applyAlignment="1" applyProtection="1">
      <alignment horizontal="left" indent="3"/>
    </xf>
    <xf numFmtId="0" fontId="49" fillId="12" borderId="0" xfId="0" applyFont="1" applyFill="1" applyBorder="1" applyAlignment="1" applyProtection="1">
      <alignment horizontal="right"/>
    </xf>
    <xf numFmtId="0" fontId="49" fillId="12" borderId="0" xfId="0" applyFont="1" applyFill="1" applyBorder="1" applyAlignment="1" applyProtection="1">
      <alignment horizontal="right" vertical="top"/>
    </xf>
    <xf numFmtId="0" fontId="49" fillId="12" borderId="0" xfId="0" applyFont="1" applyFill="1" applyBorder="1" applyAlignment="1" applyProtection="1">
      <alignment horizontal="right" vertical="center"/>
    </xf>
    <xf numFmtId="0" fontId="0" fillId="12" borderId="0" xfId="9" applyFont="1" applyFill="1" applyAlignment="1">
      <alignment horizontal="left" vertical="top" indent="1"/>
    </xf>
    <xf numFmtId="0" fontId="56" fillId="12" borderId="0" xfId="0" applyFont="1" applyFill="1" applyBorder="1" applyAlignment="1" applyProtection="1">
      <alignment horizontal="right" vertical="center"/>
    </xf>
    <xf numFmtId="0" fontId="56" fillId="12" borderId="0" xfId="0" applyFont="1" applyFill="1" applyBorder="1" applyAlignment="1" applyProtection="1">
      <alignment horizontal="right" vertical="top"/>
    </xf>
    <xf numFmtId="0" fontId="24" fillId="12" borderId="0" xfId="0" applyFont="1" applyFill="1" applyBorder="1" applyAlignment="1" applyProtection="1">
      <alignment horizontal="left" vertical="center" indent="1"/>
    </xf>
    <xf numFmtId="0" fontId="58" fillId="12" borderId="0" xfId="5" applyFont="1" applyFill="1" applyBorder="1" applyAlignment="1" applyProtection="1">
      <alignment horizontal="left" vertical="center" indent="1"/>
    </xf>
    <xf numFmtId="0" fontId="24" fillId="12" borderId="0" xfId="0" applyFont="1" applyFill="1" applyBorder="1" applyAlignment="1" applyProtection="1">
      <alignment horizontal="left" vertical="top" indent="1"/>
    </xf>
    <xf numFmtId="0" fontId="40" fillId="0" borderId="0" xfId="0" applyFont="1" applyFill="1" applyBorder="1" applyAlignment="1">
      <alignment horizontal="left" indent="3"/>
    </xf>
    <xf numFmtId="0" fontId="41" fillId="0" borderId="0" xfId="0" applyFont="1" applyFill="1" applyAlignment="1">
      <alignment horizontal="left" vertical="center" indent="3"/>
    </xf>
    <xf numFmtId="0" fontId="40" fillId="0" borderId="0" xfId="0" applyFont="1" applyFill="1" applyAlignment="1">
      <alignment horizontal="left" indent="3"/>
    </xf>
    <xf numFmtId="0" fontId="8" fillId="4" borderId="0" xfId="31" applyFont="1" applyFill="1" applyProtection="1"/>
    <xf numFmtId="0" fontId="8" fillId="4" borderId="0" xfId="31" applyFont="1" applyFill="1" applyAlignment="1" applyProtection="1">
      <alignment vertical="top"/>
    </xf>
    <xf numFmtId="0" fontId="24" fillId="4" borderId="0" xfId="31" applyFont="1" applyFill="1" applyAlignment="1" applyProtection="1">
      <alignment horizontal="left" vertical="top" indent="3"/>
    </xf>
    <xf numFmtId="0" fontId="48" fillId="0" borderId="14" xfId="0" applyFont="1" applyFill="1" applyBorder="1" applyAlignment="1" applyProtection="1">
      <alignment horizontal="centerContinuous" vertical="center"/>
    </xf>
    <xf numFmtId="0" fontId="94" fillId="0" borderId="12" xfId="0" applyFont="1" applyFill="1" applyBorder="1" applyAlignment="1" applyProtection="1">
      <alignment horizontal="left" vertical="center" indent="40"/>
    </xf>
    <xf numFmtId="0" fontId="86" fillId="0" borderId="0" xfId="5" applyFill="1" applyBorder="1" applyAlignment="1" applyProtection="1">
      <alignment horizontal="left" vertical="center" wrapText="1"/>
    </xf>
    <xf numFmtId="0" fontId="95" fillId="0" borderId="12" xfId="0" applyFont="1" applyFill="1" applyBorder="1" applyAlignment="1" applyProtection="1">
      <alignment horizontal="left" vertical="center" indent="4"/>
    </xf>
    <xf numFmtId="0" fontId="96" fillId="0" borderId="0" xfId="32" applyFont="1" applyAlignment="1">
      <alignment horizontal="left" vertical="center" indent="4"/>
    </xf>
    <xf numFmtId="0" fontId="12" fillId="0" borderId="0" xfId="32" applyFont="1" applyAlignment="1">
      <alignment horizontal="left" vertical="top"/>
    </xf>
    <xf numFmtId="0" fontId="89" fillId="0" borderId="0" xfId="32" applyFont="1" applyAlignment="1">
      <alignment horizontal="left" vertical="center" indent="3"/>
    </xf>
    <xf numFmtId="0" fontId="96" fillId="4" borderId="0" xfId="31" applyFont="1" applyFill="1" applyAlignment="1" applyProtection="1">
      <alignment horizontal="left" vertical="top" indent="3"/>
    </xf>
    <xf numFmtId="0" fontId="39" fillId="0" borderId="0" xfId="0" applyFont="1" applyAlignment="1" applyProtection="1">
      <alignment vertical="top"/>
    </xf>
    <xf numFmtId="0" fontId="25" fillId="4" borderId="0" xfId="31" applyFont="1" applyFill="1" applyAlignment="1" applyProtection="1">
      <alignment horizontal="left" vertical="top" indent="3"/>
    </xf>
    <xf numFmtId="0" fontId="42" fillId="4" borderId="0" xfId="5" applyFont="1" applyFill="1" applyAlignment="1">
      <alignment horizontal="left" indent="3"/>
    </xf>
    <xf numFmtId="0" fontId="43" fillId="4" borderId="0" xfId="8" applyFont="1" applyFill="1" applyAlignment="1">
      <alignment horizontal="left" vertical="top" wrapText="1" indent="3"/>
    </xf>
    <xf numFmtId="0" fontId="43" fillId="4" borderId="0" xfId="8" applyFont="1" applyFill="1" applyAlignment="1">
      <alignment horizontal="left" vertical="center" wrapText="1" indent="3"/>
    </xf>
    <xf numFmtId="0" fontId="33" fillId="5" borderId="0" xfId="0" applyFont="1" applyFill="1" applyAlignment="1">
      <alignment horizontal="left" vertical="center" indent="3"/>
    </xf>
    <xf numFmtId="0" fontId="40" fillId="12" borderId="0" xfId="0" applyFont="1" applyFill="1" applyAlignment="1">
      <alignment horizontal="left" indent="3"/>
    </xf>
    <xf numFmtId="0" fontId="41" fillId="12" borderId="0" xfId="0" applyFont="1" applyFill="1" applyAlignment="1">
      <alignment horizontal="left" vertical="center" wrapText="1" indent="3"/>
    </xf>
    <xf numFmtId="0" fontId="41" fillId="12" borderId="0" xfId="0" applyFont="1" applyFill="1" applyAlignment="1">
      <alignment horizontal="left" vertical="top" wrapText="1" indent="3"/>
    </xf>
    <xf numFmtId="0" fontId="33" fillId="5" borderId="0" xfId="0" applyFont="1" applyFill="1" applyAlignment="1">
      <alignment vertical="top"/>
    </xf>
    <xf numFmtId="0" fontId="93" fillId="18" borderId="0" xfId="0" applyFont="1" applyFill="1" applyAlignment="1">
      <alignment horizontal="left" vertical="top" indent="3"/>
    </xf>
    <xf numFmtId="0" fontId="41" fillId="12" borderId="0" xfId="0" applyFont="1" applyFill="1" applyAlignment="1">
      <alignment horizontal="left" wrapText="1" indent="3"/>
    </xf>
    <xf numFmtId="0" fontId="33" fillId="5" borderId="0" xfId="0" applyFont="1" applyFill="1" applyAlignment="1">
      <alignment horizontal="left" indent="3"/>
    </xf>
    <xf numFmtId="0" fontId="97" fillId="19" borderId="0" xfId="1" applyFont="1" applyFill="1" applyAlignment="1">
      <alignment horizontal="left" vertical="center" indent="3"/>
    </xf>
    <xf numFmtId="0" fontId="97" fillId="18" borderId="0" xfId="44" applyFont="1" applyFill="1" applyAlignment="1" applyProtection="1">
      <alignment horizontal="left" indent="3"/>
    </xf>
    <xf numFmtId="0" fontId="97" fillId="18" borderId="0" xfId="31" applyFont="1" applyFill="1" applyAlignment="1" applyProtection="1">
      <alignment horizontal="left" indent="3"/>
    </xf>
    <xf numFmtId="0" fontId="97" fillId="19" borderId="0" xfId="1" applyFont="1" applyFill="1" applyAlignment="1">
      <alignment horizontal="left" indent="3"/>
    </xf>
    <xf numFmtId="0" fontId="97" fillId="19" borderId="0" xfId="1" applyFont="1" applyFill="1" applyAlignment="1" applyProtection="1">
      <alignment horizontal="left" vertical="center" indent="3"/>
    </xf>
    <xf numFmtId="0" fontId="97" fillId="19" borderId="0" xfId="1" applyFont="1" applyFill="1" applyAlignment="1">
      <alignment horizontal="left" vertical="top" indent="3"/>
    </xf>
    <xf numFmtId="0" fontId="97" fillId="19" borderId="0" xfId="31" applyFont="1" applyFill="1" applyAlignment="1">
      <alignment horizontal="left" vertical="center" indent="3"/>
    </xf>
    <xf numFmtId="14" fontId="39" fillId="0" borderId="78" xfId="0" applyNumberFormat="1" applyFont="1" applyFill="1" applyBorder="1" applyAlignment="1" applyProtection="1">
      <alignment horizontal="left" vertical="top" wrapText="1"/>
    </xf>
    <xf numFmtId="0" fontId="39" fillId="0" borderId="79" xfId="0" applyFont="1" applyFill="1" applyBorder="1" applyAlignment="1" applyProtection="1">
      <alignment vertical="top" wrapText="1"/>
    </xf>
    <xf numFmtId="0" fontId="9" fillId="0" borderId="25" xfId="7" applyFont="1" applyBorder="1" applyProtection="1">
      <alignment horizontal="left" vertical="center" wrapText="1" indent="1"/>
      <protection locked="0"/>
    </xf>
    <xf numFmtId="0" fontId="97" fillId="18" borderId="0" xfId="31" applyFont="1" applyFill="1" applyAlignment="1" applyProtection="1">
      <alignment horizontal="left" vertical="center" indent="3"/>
    </xf>
    <xf numFmtId="0" fontId="39" fillId="0" borderId="94" xfId="0" applyFont="1" applyFill="1" applyBorder="1" applyProtection="1">
      <alignment vertical="center"/>
    </xf>
    <xf numFmtId="0" fontId="12" fillId="0" borderId="0" xfId="32" applyFont="1" applyAlignment="1">
      <alignment horizontal="left" vertical="top" wrapText="1" indent="3"/>
    </xf>
    <xf numFmtId="0" fontId="12" fillId="0" borderId="0" xfId="32" applyFont="1" applyAlignment="1">
      <alignment horizontal="left" vertical="center" wrapText="1" indent="3"/>
    </xf>
    <xf numFmtId="0" fontId="42" fillId="0" borderId="0" xfId="5" applyFont="1" applyAlignment="1">
      <alignment horizontal="left" vertical="center" wrapText="1" indent="3"/>
    </xf>
    <xf numFmtId="0" fontId="12" fillId="0" borderId="71" xfId="32" applyFont="1" applyBorder="1" applyAlignment="1">
      <alignment horizontal="left" vertical="center" wrapText="1" indent="3"/>
    </xf>
    <xf numFmtId="0" fontId="12" fillId="0" borderId="71" xfId="32" applyFont="1" applyFill="1" applyBorder="1" applyAlignment="1">
      <alignment horizontal="left" vertical="center" wrapText="1" indent="3"/>
    </xf>
    <xf numFmtId="0" fontId="12" fillId="0" borderId="0" xfId="32" applyFont="1" applyFill="1" applyAlignment="1">
      <alignment horizontal="left" vertical="center" wrapText="1" indent="3"/>
    </xf>
    <xf numFmtId="0" fontId="42" fillId="0" borderId="0" xfId="5" applyFont="1" applyAlignment="1">
      <alignment horizontal="left" vertical="center" indent="3"/>
    </xf>
    <xf numFmtId="0" fontId="39" fillId="0" borderId="0" xfId="0" applyFont="1" applyAlignment="1" applyProtection="1">
      <alignment horizontal="left" vertical="top" wrapText="1" indent="1"/>
    </xf>
    <xf numFmtId="0" fontId="85" fillId="0" borderId="0" xfId="5" applyFont="1" applyAlignment="1">
      <alignment horizontal="left" vertical="center" wrapText="1" indent="3"/>
    </xf>
    <xf numFmtId="0" fontId="26" fillId="0" borderId="7" xfId="7" applyFont="1" applyBorder="1" applyAlignment="1" applyProtection="1">
      <alignment horizontal="left" vertical="center" wrapText="1"/>
      <protection locked="0"/>
    </xf>
    <xf numFmtId="0" fontId="26" fillId="0" borderId="8" xfId="7" applyFont="1" applyBorder="1" applyAlignment="1" applyProtection="1">
      <alignment horizontal="left" vertical="center" wrapText="1"/>
      <protection locked="0"/>
    </xf>
    <xf numFmtId="0" fontId="26" fillId="0" borderId="86" xfId="7" applyFont="1" applyBorder="1" applyAlignment="1" applyProtection="1">
      <alignment horizontal="left" vertical="center" wrapText="1"/>
      <protection locked="0"/>
    </xf>
    <xf numFmtId="0" fontId="26" fillId="0" borderId="9" xfId="7" applyFont="1" applyBorder="1" applyAlignment="1" applyProtection="1">
      <alignment horizontal="left" vertical="center" wrapText="1"/>
      <protection locked="0"/>
    </xf>
    <xf numFmtId="0" fontId="26" fillId="0" borderId="90" xfId="7" applyFont="1" applyBorder="1" applyAlignment="1" applyProtection="1">
      <alignment horizontal="left" vertical="center" wrapText="1"/>
      <protection locked="0"/>
    </xf>
    <xf numFmtId="0" fontId="63" fillId="0" borderId="63" xfId="7" applyFont="1" applyBorder="1" applyAlignment="1" applyProtection="1">
      <alignment horizontal="left" vertical="center" wrapText="1"/>
      <protection locked="0"/>
    </xf>
    <xf numFmtId="0" fontId="63" fillId="0" borderId="64" xfId="7" applyFont="1" applyBorder="1" applyAlignment="1" applyProtection="1">
      <alignment horizontal="left" vertical="center" wrapText="1"/>
      <protection locked="0"/>
    </xf>
    <xf numFmtId="0" fontId="63" fillId="0" borderId="91" xfId="7" applyFont="1" applyBorder="1" applyAlignment="1" applyProtection="1">
      <alignment horizontal="left" vertical="center" wrapText="1"/>
      <protection locked="0"/>
    </xf>
    <xf numFmtId="165" fontId="44" fillId="0" borderId="8" xfId="5" applyNumberFormat="1" applyFont="1" applyBorder="1" applyAlignment="1" applyProtection="1">
      <alignment horizontal="left" vertical="center" wrapText="1"/>
      <protection locked="0"/>
    </xf>
    <xf numFmtId="165" fontId="67" fillId="0" borderId="9" xfId="7" applyNumberFormat="1" applyFont="1" applyBorder="1" applyAlignment="1" applyProtection="1">
      <alignment horizontal="left" vertical="center" wrapText="1"/>
      <protection locked="0"/>
    </xf>
    <xf numFmtId="165" fontId="67" fillId="0" borderId="90" xfId="7" applyNumberFormat="1" applyFont="1" applyBorder="1" applyAlignment="1" applyProtection="1">
      <alignment horizontal="left" vertical="center" wrapText="1"/>
      <protection locked="0"/>
    </xf>
    <xf numFmtId="0" fontId="26" fillId="0" borderId="8" xfId="5" applyFont="1" applyBorder="1" applyAlignment="1" applyProtection="1">
      <alignment horizontal="left" vertical="center" wrapText="1"/>
      <protection locked="0"/>
    </xf>
    <xf numFmtId="0" fontId="63" fillId="0" borderId="9" xfId="7" applyFont="1" applyBorder="1" applyAlignment="1" applyProtection="1">
      <alignment horizontal="left" vertical="center" wrapText="1"/>
      <protection locked="0"/>
    </xf>
    <xf numFmtId="0" fontId="63" fillId="0" borderId="90" xfId="7" applyFont="1" applyBorder="1" applyAlignment="1" applyProtection="1">
      <alignment horizontal="left" vertical="center" wrapText="1"/>
      <protection locked="0"/>
    </xf>
    <xf numFmtId="165" fontId="26" fillId="0" borderId="7" xfId="7" applyNumberFormat="1" applyFont="1" applyBorder="1" applyAlignment="1" applyProtection="1">
      <alignment horizontal="left" vertical="center" wrapText="1"/>
      <protection locked="0"/>
    </xf>
    <xf numFmtId="165" fontId="26" fillId="0" borderId="8" xfId="7" applyNumberFormat="1" applyFont="1" applyBorder="1" applyAlignment="1" applyProtection="1">
      <alignment horizontal="left" vertical="center" wrapText="1"/>
      <protection locked="0"/>
    </xf>
    <xf numFmtId="165" fontId="26" fillId="0" borderId="86" xfId="7" applyNumberFormat="1" applyFont="1" applyBorder="1" applyAlignment="1" applyProtection="1">
      <alignment horizontal="left" vertical="center" wrapText="1"/>
      <protection locked="0"/>
    </xf>
    <xf numFmtId="165" fontId="44" fillId="0" borderId="92" xfId="5" applyNumberFormat="1" applyFont="1" applyBorder="1" applyAlignment="1" applyProtection="1">
      <alignment horizontal="left" vertical="center" wrapText="1"/>
      <protection locked="0"/>
    </xf>
    <xf numFmtId="165" fontId="26" fillId="0" borderId="92" xfId="7" applyNumberFormat="1" applyFont="1" applyBorder="1" applyAlignment="1" applyProtection="1">
      <alignment horizontal="left" vertical="center" wrapText="1"/>
      <protection locked="0"/>
    </xf>
    <xf numFmtId="165" fontId="26" fillId="0" borderId="63" xfId="7" applyNumberFormat="1" applyFont="1" applyBorder="1" applyAlignment="1" applyProtection="1">
      <alignment horizontal="left" vertical="center" wrapText="1"/>
      <protection locked="0"/>
    </xf>
    <xf numFmtId="165" fontId="26" fillId="0" borderId="87" xfId="7" applyNumberFormat="1" applyFont="1" applyBorder="1" applyAlignment="1" applyProtection="1">
      <alignment horizontal="left" vertical="center" wrapText="1"/>
      <protection locked="0"/>
    </xf>
    <xf numFmtId="0" fontId="13" fillId="12" borderId="15" xfId="3" applyFont="1" applyFill="1" applyBorder="1" applyAlignment="1" applyProtection="1">
      <alignment horizontal="left" vertical="top" wrapText="1"/>
    </xf>
    <xf numFmtId="0" fontId="13" fillId="12" borderId="17" xfId="3" applyFont="1" applyFill="1" applyBorder="1" applyAlignment="1" applyProtection="1">
      <alignment horizontal="left" vertical="top" wrapText="1"/>
    </xf>
    <xf numFmtId="0" fontId="13" fillId="12" borderId="18" xfId="3" applyFont="1" applyFill="1" applyBorder="1" applyAlignment="1" applyProtection="1">
      <alignment horizontal="left" vertical="top" wrapText="1"/>
    </xf>
    <xf numFmtId="164" fontId="26" fillId="0" borderId="3" xfId="7" applyNumberFormat="1" applyFont="1" applyBorder="1" applyProtection="1">
      <alignment horizontal="left" vertical="center" wrapText="1" indent="1"/>
      <protection locked="0"/>
    </xf>
    <xf numFmtId="0" fontId="26" fillId="0" borderId="3" xfId="7" applyFont="1" applyBorder="1" applyAlignment="1" applyProtection="1">
      <alignment horizontal="left" vertical="center" wrapText="1"/>
      <protection locked="0"/>
    </xf>
  </cellXfs>
  <cellStyles count="46">
    <cellStyle name="BackToTop" xfId="19" xr:uid="{00000000-0005-0000-0000-000000000000}"/>
    <cellStyle name="By Variable Years" xfId="27" xr:uid="{00000000-0005-0000-0000-000001000000}"/>
    <cellStyle name="By-Variable Encryption and Years" xfId="26" xr:uid="{00000000-0005-0000-0000-000002000000}"/>
    <cellStyle name="Category Name" xfId="16" xr:uid="{00000000-0005-0000-0000-000003000000}"/>
    <cellStyle name="Category Select" xfId="18" xr:uid="{00000000-0005-0000-0000-000004000000}"/>
    <cellStyle name="Category Table Header" xfId="17" xr:uid="{00000000-0005-0000-0000-000005000000}"/>
    <cellStyle name="Category Table Header 2" xfId="38" xr:uid="{00000000-0005-0000-0000-000006000000}"/>
    <cellStyle name="Comma 2" xfId="12" xr:uid="{00000000-0005-0000-0000-000007000000}"/>
    <cellStyle name="Data_Entry" xfId="7" xr:uid="{00000000-0005-0000-0000-000008000000}"/>
    <cellStyle name="Dropped" xfId="41" xr:uid="{00000000-0005-0000-0000-000009000000}"/>
    <cellStyle name="Encrypted" xfId="42" xr:uid="{00000000-0005-0000-0000-00000A000000}"/>
    <cellStyle name="Explanatory Text" xfId="8" builtinId="53" customBuiltin="1"/>
    <cellStyle name="File/Cell Name and Definition" xfId="29" xr:uid="{00000000-0005-0000-0000-00000C000000}"/>
    <cellStyle name="Followed Hyperlink" xfId="11" builtinId="9" customBuiltin="1"/>
    <cellStyle name="Form Title" xfId="1" xr:uid="{00000000-0005-0000-0000-00000E000000}"/>
    <cellStyle name="Form Title 2" xfId="31" xr:uid="{00000000-0005-0000-0000-00000F000000}"/>
    <cellStyle name="Form Title 2 2" xfId="44" xr:uid="{00000000-0005-0000-0000-000010000000}"/>
    <cellStyle name="GuidanceText" xfId="4" xr:uid="{00000000-0005-0000-0000-000011000000}"/>
    <cellStyle name="Heading 1 2" xfId="10" xr:uid="{00000000-0005-0000-0000-000012000000}"/>
    <cellStyle name="Hyperlink" xfId="5" builtinId="8" customBuiltin="1"/>
    <cellStyle name="Instructions" xfId="9" xr:uid="{00000000-0005-0000-0000-000014000000}"/>
    <cellStyle name="Instructions 2" xfId="32" xr:uid="{00000000-0005-0000-0000-000015000000}"/>
    <cellStyle name="Instructions 3" xfId="39" xr:uid="{00000000-0005-0000-0000-000016000000}"/>
    <cellStyle name="Normal" xfId="0" builtinId="0" customBuiltin="1"/>
    <cellStyle name="Normal 2" xfId="43" xr:uid="{00000000-0005-0000-0000-000018000000}"/>
    <cellStyle name="Normal 2 5" xfId="40" xr:uid="{00000000-0005-0000-0000-000019000000}"/>
    <cellStyle name="Normal 2 5 2" xfId="45" xr:uid="{00000000-0005-0000-0000-00001A000000}"/>
    <cellStyle name="Normal 5" xfId="15" xr:uid="{00000000-0005-0000-0000-00001B000000}"/>
    <cellStyle name="Note - Instructions" xfId="20" xr:uid="{00000000-0005-0000-0000-00001C000000}"/>
    <cellStyle name="Request Auto Justification" xfId="24" xr:uid="{00000000-0005-0000-0000-00001D000000}"/>
    <cellStyle name="Request Form Field Label" xfId="28" xr:uid="{00000000-0005-0000-0000-00001E000000}"/>
    <cellStyle name="Request Form Type" xfId="22" xr:uid="{00000000-0005-0000-0000-00001F000000}"/>
    <cellStyle name="Request Justification" xfId="25" xr:uid="{00000000-0005-0000-0000-000020000000}"/>
    <cellStyle name="RowHeader1" xfId="37" xr:uid="{00000000-0005-0000-0000-000021000000}"/>
    <cellStyle name="Section Description" xfId="21" xr:uid="{00000000-0005-0000-0000-000022000000}"/>
    <cellStyle name="Section Heading" xfId="33" xr:uid="{00000000-0005-0000-0000-000023000000}"/>
    <cellStyle name="Section Heading Level 2" xfId="34" xr:uid="{00000000-0005-0000-0000-000024000000}"/>
    <cellStyle name="SectionHeader" xfId="3" xr:uid="{00000000-0005-0000-0000-000025000000}"/>
    <cellStyle name="Selection Cell" xfId="23" xr:uid="{00000000-0005-0000-0000-000026000000}"/>
    <cellStyle name="Strong" xfId="36" xr:uid="{00000000-0005-0000-0000-000027000000}"/>
    <cellStyle name="Style 2" xfId="6" xr:uid="{00000000-0005-0000-0000-000028000000}"/>
    <cellStyle name="TableHeader" xfId="35" xr:uid="{00000000-0005-0000-0000-000029000000}"/>
    <cellStyle name="TableHeader1" xfId="2" xr:uid="{00000000-0005-0000-0000-00002A000000}"/>
    <cellStyle name="TOC" xfId="13" xr:uid="{00000000-0005-0000-0000-00002B000000}"/>
    <cellStyle name="Variable List Header" xfId="14" xr:uid="{00000000-0005-0000-0000-00002C000000}"/>
    <cellStyle name="Years Available" xfId="30" xr:uid="{00000000-0005-0000-0000-00002D000000}"/>
  </cellStyles>
  <dxfs count="2">
    <dxf>
      <font>
        <color theme="0"/>
      </font>
      <fill>
        <patternFill>
          <fgColor rgb="FF9F601D"/>
          <bgColor rgb="FF09597D"/>
        </patternFill>
      </fill>
    </dxf>
    <dxf>
      <font>
        <color theme="0"/>
      </font>
      <fill>
        <patternFill>
          <fgColor rgb="FF9F601D"/>
          <bgColor rgb="FF09597D"/>
        </patternFill>
      </fill>
    </dxf>
  </dxfs>
  <tableStyles count="1" defaultTableStyle="TableStyleMedium2" defaultPivotStyle="PivotStyleLight16">
    <tableStyle name="RequestFrom" pivot="0" count="0" xr9:uid="{00000000-0011-0000-FFFF-FFFF00000000}"/>
  </tableStyles>
  <colors>
    <mruColors>
      <color rgb="FF09597D"/>
      <color rgb="FFF5F5F5"/>
      <color rgb="FF262626"/>
      <color rgb="FFFFF6E1"/>
      <color rgb="FFCDDEE5"/>
      <color rgb="FF6B9BB1"/>
      <color rgb="FF6B9B75"/>
      <color rgb="FF297E73"/>
      <color rgb="FFF4DCCC"/>
      <color rgb="FF9C601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Radio" firstButton="1" fmlaLink="$C$36"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firstButton="1" fmlaLink="$C$23"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2" Type="http://schemas.openxmlformats.org/officeDocument/2006/relationships/hyperlink" Target="#Introduction!A1"/><Relationship Id="rId1" Type="http://schemas.openxmlformats.org/officeDocument/2006/relationships/hyperlink" Target="#About_Request_Form!A1"/></Relationships>
</file>

<file path=xl/drawings/_rels/drawing10.xml.rels><?xml version="1.0" encoding="UTF-8" standalone="yes"?>
<Relationships xmlns="http://schemas.openxmlformats.org/package/2006/relationships"><Relationship Id="rId2" Type="http://schemas.openxmlformats.org/officeDocument/2006/relationships/hyperlink" Target="#App_D_Glossary!A1"/><Relationship Id="rId1" Type="http://schemas.openxmlformats.org/officeDocument/2006/relationships/hyperlink" Target="#App_B_Encryption_Levels!A1"/></Relationships>
</file>

<file path=xl/drawings/_rels/drawing11.xml.rels><?xml version="1.0" encoding="UTF-8" standalone="yes"?>
<Relationships xmlns="http://schemas.openxmlformats.org/package/2006/relationships"><Relationship Id="rId1" Type="http://schemas.openxmlformats.org/officeDocument/2006/relationships/hyperlink" Target="#App_C_Acronyms!A1"/></Relationships>
</file>

<file path=xl/drawings/_rels/drawing2.xml.rels><?xml version="1.0" encoding="UTF-8" standalone="yes"?>
<Relationships xmlns="http://schemas.openxmlformats.org/package/2006/relationships"><Relationship Id="rId3" Type="http://schemas.openxmlformats.org/officeDocument/2006/relationships/hyperlink" Target="#Revision_Log!A1"/><Relationship Id="rId2" Type="http://schemas.openxmlformats.org/officeDocument/2006/relationships/hyperlink" Target="#Form_Instructions!A1"/><Relationship Id="rId1" Type="http://schemas.openxmlformats.org/officeDocument/2006/relationships/hyperlink" Target="#Introduction!A1"/></Relationships>
</file>

<file path=xl/drawings/_rels/drawing3.xml.rels><?xml version="1.0" encoding="UTF-8" standalone="yes"?>
<Relationships xmlns="http://schemas.openxmlformats.org/package/2006/relationships"><Relationship Id="rId2" Type="http://schemas.openxmlformats.org/officeDocument/2006/relationships/hyperlink" Target="#About_Request_Form!A1"/><Relationship Id="rId1" Type="http://schemas.openxmlformats.org/officeDocument/2006/relationships/hyperlink" Target="#Research_Project_Info!A1"/></Relationships>
</file>

<file path=xl/drawings/_rels/drawing4.xml.rels><?xml version="1.0" encoding="UTF-8" standalone="yes"?>
<Relationships xmlns="http://schemas.openxmlformats.org/package/2006/relationships"><Relationship Id="rId2" Type="http://schemas.openxmlformats.org/officeDocument/2006/relationships/hyperlink" Target="#'File-Level_Request'!A1"/><Relationship Id="rId1" Type="http://schemas.openxmlformats.org/officeDocument/2006/relationships/hyperlink" Target="#Form_Instructions!A1"/></Relationships>
</file>

<file path=xl/drawings/_rels/drawing5.xml.rels><?xml version="1.0" encoding="UTF-8" standalone="yes"?>
<Relationships xmlns="http://schemas.openxmlformats.org/package/2006/relationships"><Relationship Id="rId2" Type="http://schemas.openxmlformats.org/officeDocument/2006/relationships/hyperlink" Target="#PDE_Request!A1"/><Relationship Id="rId1" Type="http://schemas.openxmlformats.org/officeDocument/2006/relationships/hyperlink" Target="#Research_Project_Info!A1"/></Relationships>
</file>

<file path=xl/drawings/_rels/drawing6.xml.rels><?xml version="1.0" encoding="UTF-8" standalone="yes"?>
<Relationships xmlns="http://schemas.openxmlformats.org/package/2006/relationships"><Relationship Id="rId2" Type="http://schemas.openxmlformats.org/officeDocument/2006/relationships/hyperlink" Target="#Summary!A1"/><Relationship Id="rId1" Type="http://schemas.openxmlformats.org/officeDocument/2006/relationships/hyperlink" Target="#'File-Level_Request'!A1"/></Relationships>
</file>

<file path=xl/drawings/_rels/drawing7.xml.rels><?xml version="1.0" encoding="UTF-8" standalone="yes"?>
<Relationships xmlns="http://schemas.openxmlformats.org/package/2006/relationships"><Relationship Id="rId2" Type="http://schemas.openxmlformats.org/officeDocument/2006/relationships/hyperlink" Target="#App_A_File_Desc!A1"/><Relationship Id="rId1" Type="http://schemas.openxmlformats.org/officeDocument/2006/relationships/hyperlink" Target="#PDE_Request!A1"/></Relationships>
</file>

<file path=xl/drawings/_rels/drawing8.xml.rels><?xml version="1.0" encoding="UTF-8" standalone="yes"?>
<Relationships xmlns="http://schemas.openxmlformats.org/package/2006/relationships"><Relationship Id="rId2" Type="http://schemas.openxmlformats.org/officeDocument/2006/relationships/hyperlink" Target="#App_B_Encryption_Levels!A1"/><Relationship Id="rId1" Type="http://schemas.openxmlformats.org/officeDocument/2006/relationships/hyperlink" Target="#Summary!A1"/></Relationships>
</file>

<file path=xl/drawings/_rels/drawing9.xml.rels><?xml version="1.0" encoding="UTF-8" standalone="yes"?>
<Relationships xmlns="http://schemas.openxmlformats.org/package/2006/relationships"><Relationship Id="rId2" Type="http://schemas.openxmlformats.org/officeDocument/2006/relationships/hyperlink" Target="#App_C_Acronyms!A1"/><Relationship Id="rId1" Type="http://schemas.openxmlformats.org/officeDocument/2006/relationships/hyperlink" Target="#App_A_File_Desc!A1"/></Relationships>
</file>

<file path=xl/drawings/drawing1.xml><?xml version="1.0" encoding="utf-8"?>
<xdr:wsDr xmlns:xdr="http://schemas.openxmlformats.org/drawingml/2006/spreadsheetDrawing" xmlns:a="http://schemas.openxmlformats.org/drawingml/2006/main">
  <xdr:twoCellAnchor>
    <xdr:from>
      <xdr:col>3</xdr:col>
      <xdr:colOff>5840729</xdr:colOff>
      <xdr:row>31</xdr:row>
      <xdr:rowOff>102094</xdr:rowOff>
    </xdr:from>
    <xdr:to>
      <xdr:col>3</xdr:col>
      <xdr:colOff>7069454</xdr:colOff>
      <xdr:row>32</xdr:row>
      <xdr:rowOff>213854</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00000000-0008-0000-0100-000002000000}"/>
            </a:ext>
          </a:extLst>
        </xdr:cNvPr>
        <xdr:cNvSpPr/>
      </xdr:nvSpPr>
      <xdr:spPr>
        <a:xfrm>
          <a:off x="10365104" y="12170269"/>
          <a:ext cx="1228725" cy="359410"/>
        </a:xfrm>
        <a:prstGeom prst="rect">
          <a:avLst/>
        </a:prstGeom>
        <a:solidFill>
          <a:srgbClr val="CDDEE5"/>
        </a:solidFill>
        <a:ln>
          <a:noFill/>
        </a:ln>
        <a:effectLst>
          <a:outerShdw blurRad="38100" dist="25400" dir="2700000" algn="tl" rotWithShape="0">
            <a:schemeClr val="bg2">
              <a:lumMod val="25000"/>
              <a:alpha val="20000"/>
            </a:schemeClr>
          </a:outerShdw>
        </a:effectLst>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u="none" baseline="0">
              <a:solidFill>
                <a:sysClr val="windowText" lastClr="000000"/>
              </a:solidFill>
              <a:latin typeface="Franklin Gothic Medium" panose="020B0603020102020204" pitchFamily="34" charset="0"/>
            </a:rPr>
            <a:t>&gt;</a:t>
          </a:r>
          <a:endParaRPr lang="en-US" sz="1050" u="none">
            <a:solidFill>
              <a:sysClr val="windowText" lastClr="000000"/>
            </a:solidFill>
            <a:latin typeface="Franklin Gothic Medium" panose="020B0603020102020204" pitchFamily="34" charset="0"/>
          </a:endParaRPr>
        </a:p>
      </xdr:txBody>
    </xdr:sp>
    <xdr:clientData/>
  </xdr:twoCellAnchor>
  <xdr:twoCellAnchor>
    <xdr:from>
      <xdr:col>3</xdr:col>
      <xdr:colOff>3714750</xdr:colOff>
      <xdr:row>0</xdr:row>
      <xdr:rowOff>314960</xdr:rowOff>
    </xdr:from>
    <xdr:to>
      <xdr:col>3</xdr:col>
      <xdr:colOff>5360670</xdr:colOff>
      <xdr:row>1</xdr:row>
      <xdr:rowOff>315595</xdr:rowOff>
    </xdr:to>
    <xdr:sp macro="" textlink="">
      <xdr:nvSpPr>
        <xdr:cNvPr id="3" name="Rectangle 2">
          <a:hlinkClick xmlns:r="http://schemas.openxmlformats.org/officeDocument/2006/relationships" r:id="rId2"/>
          <a:extLst>
            <a:ext uri="{FF2B5EF4-FFF2-40B4-BE49-F238E27FC236}">
              <a16:creationId xmlns:a16="http://schemas.microsoft.com/office/drawing/2014/main" id="{00000000-0008-0000-0100-000003000000}"/>
            </a:ext>
          </a:extLst>
        </xdr:cNvPr>
        <xdr:cNvSpPr/>
      </xdr:nvSpPr>
      <xdr:spPr>
        <a:xfrm>
          <a:off x="7912100" y="314960"/>
          <a:ext cx="1645920" cy="362585"/>
        </a:xfrm>
        <a:prstGeom prst="rect">
          <a:avLst/>
        </a:prstGeom>
        <a:solidFill>
          <a:srgbClr val="CDDEE5"/>
        </a:solidFill>
        <a:ln>
          <a:noFill/>
        </a:ln>
        <a:effectLst>
          <a:outerShdw blurRad="38100" dist="25400" dir="2700000" algn="tl" rotWithShape="0">
            <a:schemeClr val="bg2">
              <a:lumMod val="25000"/>
              <a:alpha val="20000"/>
            </a:schemeClr>
          </a:outerShdw>
        </a:effectLst>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u="none">
              <a:solidFill>
                <a:sysClr val="windowText" lastClr="000000"/>
              </a:solidFill>
              <a:latin typeface="Segoe UI Semibold" panose="020B0702040204020203" pitchFamily="34" charset="0"/>
              <a:cs typeface="Segoe UI Semibold" panose="020B0702040204020203" pitchFamily="34" charset="0"/>
            </a:rPr>
            <a:t>&lt;</a:t>
          </a:r>
          <a:r>
            <a:rPr lang="en-US" sz="1050" u="none" baseline="0">
              <a:solidFill>
                <a:sysClr val="windowText" lastClr="000000"/>
              </a:solidFill>
              <a:latin typeface="Segoe UI Semibold" panose="020B0702040204020203" pitchFamily="34" charset="0"/>
              <a:cs typeface="Segoe UI Semibold" panose="020B0702040204020203" pitchFamily="34" charset="0"/>
            </a:rPr>
            <a:t> Introduction</a:t>
          </a:r>
          <a:endParaRPr lang="en-US" sz="1050" u="none">
            <a:solidFill>
              <a:sysClr val="windowText" lastClr="000000"/>
            </a:solidFill>
            <a:latin typeface="Segoe UI Semibold" panose="020B0702040204020203" pitchFamily="34" charset="0"/>
            <a:cs typeface="Segoe UI Semibold" panose="020B0702040204020203" pitchFamily="34" charset="0"/>
          </a:endParaRPr>
        </a:p>
      </xdr:txBody>
    </xdr:sp>
    <xdr:clientData/>
  </xdr:twoCellAnchor>
  <xdr:twoCellAnchor>
    <xdr:from>
      <xdr:col>3</xdr:col>
      <xdr:colOff>5421630</xdr:colOff>
      <xdr:row>0</xdr:row>
      <xdr:rowOff>310515</xdr:rowOff>
    </xdr:from>
    <xdr:to>
      <xdr:col>3</xdr:col>
      <xdr:colOff>7067550</xdr:colOff>
      <xdr:row>1</xdr:row>
      <xdr:rowOff>304800</xdr:rowOff>
    </xdr:to>
    <xdr:sp macro="" textlink="">
      <xdr:nvSpPr>
        <xdr:cNvPr id="4" name="Rectangle 3">
          <a:hlinkClick xmlns:r="http://schemas.openxmlformats.org/officeDocument/2006/relationships" r:id="rId1"/>
          <a:extLst>
            <a:ext uri="{FF2B5EF4-FFF2-40B4-BE49-F238E27FC236}">
              <a16:creationId xmlns:a16="http://schemas.microsoft.com/office/drawing/2014/main" id="{00000000-0008-0000-0100-000004000000}"/>
            </a:ext>
          </a:extLst>
        </xdr:cNvPr>
        <xdr:cNvSpPr/>
      </xdr:nvSpPr>
      <xdr:spPr>
        <a:xfrm>
          <a:off x="10041255" y="310515"/>
          <a:ext cx="1645920" cy="356235"/>
        </a:xfrm>
        <a:prstGeom prst="rect">
          <a:avLst/>
        </a:prstGeom>
        <a:solidFill>
          <a:srgbClr val="CDDEE5"/>
        </a:solidFill>
        <a:ln>
          <a:noFill/>
        </a:ln>
        <a:effectLst>
          <a:outerShdw blurRad="38100" dist="25400" dir="2700000" algn="tl" rotWithShape="0">
            <a:schemeClr val="bg2">
              <a:lumMod val="25000"/>
              <a:alpha val="20000"/>
            </a:schemeClr>
          </a:outerShdw>
        </a:effectLst>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u="none" baseline="0">
              <a:solidFill>
                <a:sysClr val="windowText" lastClr="000000"/>
              </a:solidFill>
              <a:latin typeface="Segoe UI Semibold" panose="020B0702040204020203" pitchFamily="34" charset="0"/>
              <a:cs typeface="Segoe UI Semibold" panose="020B0702040204020203" pitchFamily="34" charset="0"/>
            </a:rPr>
            <a:t> About Request Form&gt;</a:t>
          </a:r>
          <a:endParaRPr lang="en-US" sz="1050" u="none">
            <a:solidFill>
              <a:sysClr val="windowText" lastClr="000000"/>
            </a:solidFill>
            <a:latin typeface="Segoe UI Semibold" panose="020B0702040204020203" pitchFamily="34" charset="0"/>
            <a:cs typeface="Segoe UI Semibold" panose="020B0702040204020203" pitchFamily="34" charset="0"/>
          </a:endParaRPr>
        </a:p>
      </xdr:txBody>
    </xdr:sp>
    <xdr:clientData/>
  </xdr:twoCellAnchor>
  <xdr:twoCellAnchor>
    <xdr:from>
      <xdr:col>3</xdr:col>
      <xdr:colOff>4571340</xdr:colOff>
      <xdr:row>31</xdr:row>
      <xdr:rowOff>101414</xdr:rowOff>
    </xdr:from>
    <xdr:to>
      <xdr:col>3</xdr:col>
      <xdr:colOff>5809590</xdr:colOff>
      <xdr:row>32</xdr:row>
      <xdr:rowOff>214535</xdr:rowOff>
    </xdr:to>
    <xdr:sp macro="" textlink="">
      <xdr:nvSpPr>
        <xdr:cNvPr id="5" name="Rectangle 4">
          <a:hlinkClick xmlns:r="http://schemas.openxmlformats.org/officeDocument/2006/relationships" r:id="rId2"/>
          <a:extLst>
            <a:ext uri="{FF2B5EF4-FFF2-40B4-BE49-F238E27FC236}">
              <a16:creationId xmlns:a16="http://schemas.microsoft.com/office/drawing/2014/main" id="{00000000-0008-0000-0100-000005000000}"/>
            </a:ext>
          </a:extLst>
        </xdr:cNvPr>
        <xdr:cNvSpPr/>
      </xdr:nvSpPr>
      <xdr:spPr>
        <a:xfrm>
          <a:off x="9095715" y="12169589"/>
          <a:ext cx="1238250" cy="360771"/>
        </a:xfrm>
        <a:prstGeom prst="rect">
          <a:avLst/>
        </a:prstGeom>
        <a:solidFill>
          <a:srgbClr val="CDDEE5"/>
        </a:solidFill>
        <a:ln>
          <a:noFill/>
        </a:ln>
        <a:effectLst>
          <a:outerShdw blurRad="38100" dist="25400" dir="2700000" algn="tl" rotWithShape="0">
            <a:schemeClr val="bg2">
              <a:lumMod val="25000"/>
              <a:alpha val="20000"/>
            </a:schemeClr>
          </a:outerShdw>
        </a:effectLst>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u="none">
              <a:solidFill>
                <a:sysClr val="windowText" lastClr="000000"/>
              </a:solidFill>
              <a:latin typeface="Franklin Gothic Medium" panose="020B0603020102020204" pitchFamily="34" charset="0"/>
            </a:rPr>
            <a:t>&lt;</a:t>
          </a:r>
          <a:r>
            <a:rPr lang="en-US" sz="1050" u="none" baseline="0">
              <a:solidFill>
                <a:sysClr val="windowText" lastClr="000000"/>
              </a:solidFill>
              <a:latin typeface="Franklin Gothic Medium" panose="020B0603020102020204" pitchFamily="34" charset="0"/>
            </a:rPr>
            <a:t> </a:t>
          </a:r>
          <a:endParaRPr lang="en-US" sz="1050" u="none">
            <a:solidFill>
              <a:sysClr val="windowText" lastClr="000000"/>
            </a:solidFill>
            <a:latin typeface="Franklin Gothic Medium" panose="020B0603020102020204" pitchFamily="34" charset="0"/>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xdr:col>
      <xdr:colOff>2282641</xdr:colOff>
      <xdr:row>0</xdr:row>
      <xdr:rowOff>243539</xdr:rowOff>
    </xdr:from>
    <xdr:to>
      <xdr:col>2</xdr:col>
      <xdr:colOff>3928561</xdr:colOff>
      <xdr:row>1</xdr:row>
      <xdr:rowOff>253699</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00000000-0008-0000-0A00-000002000000}"/>
            </a:ext>
          </a:extLst>
        </xdr:cNvPr>
        <xdr:cNvSpPr/>
      </xdr:nvSpPr>
      <xdr:spPr>
        <a:xfrm>
          <a:off x="5225866" y="243539"/>
          <a:ext cx="1645920" cy="372110"/>
        </a:xfrm>
        <a:prstGeom prst="rect">
          <a:avLst/>
        </a:prstGeom>
        <a:solidFill>
          <a:srgbClr val="CDDEE5"/>
        </a:solidFill>
        <a:ln>
          <a:noFill/>
        </a:ln>
        <a:effectLst>
          <a:outerShdw blurRad="38100" dist="25400" dir="2700000" algn="tl" rotWithShape="0">
            <a:schemeClr val="bg2">
              <a:lumMod val="25000"/>
              <a:alpha val="20000"/>
            </a:schemeClr>
          </a:outerShdw>
        </a:effectLst>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l"/>
          <a:r>
            <a:rPr lang="en-US" sz="1050" u="none">
              <a:solidFill>
                <a:sysClr val="windowText" lastClr="000000"/>
              </a:solidFill>
              <a:latin typeface="Segoe UI Semibold" panose="020B0702040204020203" pitchFamily="34" charset="0"/>
              <a:cs typeface="Segoe UI Semibold" panose="020B0702040204020203" pitchFamily="34" charset="0"/>
            </a:rPr>
            <a:t>&lt;  App B Encryption Levels</a:t>
          </a:r>
        </a:p>
      </xdr:txBody>
    </xdr:sp>
    <xdr:clientData/>
  </xdr:twoCellAnchor>
  <xdr:twoCellAnchor>
    <xdr:from>
      <xdr:col>2</xdr:col>
      <xdr:colOff>3133725</xdr:colOff>
      <xdr:row>35</xdr:row>
      <xdr:rowOff>24947</xdr:rowOff>
    </xdr:from>
    <xdr:to>
      <xdr:col>2</xdr:col>
      <xdr:colOff>4368165</xdr:colOff>
      <xdr:row>35</xdr:row>
      <xdr:rowOff>390707</xdr:rowOff>
    </xdr:to>
    <xdr:sp macro="" textlink="">
      <xdr:nvSpPr>
        <xdr:cNvPr id="3" name="Rectangle 2">
          <a:hlinkClick xmlns:r="http://schemas.openxmlformats.org/officeDocument/2006/relationships" r:id="rId1"/>
          <a:extLst>
            <a:ext uri="{FF2B5EF4-FFF2-40B4-BE49-F238E27FC236}">
              <a16:creationId xmlns:a16="http://schemas.microsoft.com/office/drawing/2014/main" id="{00000000-0008-0000-0A00-000003000000}"/>
            </a:ext>
          </a:extLst>
        </xdr:cNvPr>
        <xdr:cNvSpPr/>
      </xdr:nvSpPr>
      <xdr:spPr>
        <a:xfrm>
          <a:off x="6076950" y="14302922"/>
          <a:ext cx="1234440" cy="365760"/>
        </a:xfrm>
        <a:prstGeom prst="rect">
          <a:avLst/>
        </a:prstGeom>
        <a:solidFill>
          <a:srgbClr val="CDDEE5"/>
        </a:solidFill>
        <a:ln>
          <a:noFill/>
        </a:ln>
        <a:effectLst>
          <a:outerShdw blurRad="38100" dist="25400" dir="2700000" algn="tl" rotWithShape="0">
            <a:schemeClr val="bg2">
              <a:lumMod val="25000"/>
              <a:alpha val="20000"/>
            </a:schemeClr>
          </a:outerShdw>
        </a:effectLst>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u="none">
              <a:solidFill>
                <a:sysClr val="windowText" lastClr="000000"/>
              </a:solidFill>
              <a:latin typeface="Franklin Gothic Medium" panose="020B0603020102020204" pitchFamily="34" charset="0"/>
            </a:rPr>
            <a:t>&lt;</a:t>
          </a:r>
          <a:r>
            <a:rPr lang="en-US" sz="1050" u="none" baseline="0">
              <a:solidFill>
                <a:sysClr val="windowText" lastClr="000000"/>
              </a:solidFill>
              <a:latin typeface="Franklin Gothic Medium" panose="020B0603020102020204" pitchFamily="34" charset="0"/>
            </a:rPr>
            <a:t> </a:t>
          </a:r>
          <a:endParaRPr lang="en-US" sz="1050" u="none">
            <a:solidFill>
              <a:sysClr val="windowText" lastClr="000000"/>
            </a:solidFill>
            <a:latin typeface="Franklin Gothic Medium" panose="020B0603020102020204" pitchFamily="34" charset="0"/>
          </a:endParaRPr>
        </a:p>
      </xdr:txBody>
    </xdr:sp>
    <xdr:clientData/>
  </xdr:twoCellAnchor>
  <xdr:twoCellAnchor>
    <xdr:from>
      <xdr:col>2</xdr:col>
      <xdr:colOff>3965575</xdr:colOff>
      <xdr:row>0</xdr:row>
      <xdr:rowOff>243221</xdr:rowOff>
    </xdr:from>
    <xdr:to>
      <xdr:col>2</xdr:col>
      <xdr:colOff>5611495</xdr:colOff>
      <xdr:row>1</xdr:row>
      <xdr:rowOff>253381</xdr:rowOff>
    </xdr:to>
    <xdr:sp macro="" textlink="">
      <xdr:nvSpPr>
        <xdr:cNvPr id="4" name="Rectangle 3">
          <a:hlinkClick xmlns:r="http://schemas.openxmlformats.org/officeDocument/2006/relationships" r:id="rId2"/>
          <a:extLst>
            <a:ext uri="{FF2B5EF4-FFF2-40B4-BE49-F238E27FC236}">
              <a16:creationId xmlns:a16="http://schemas.microsoft.com/office/drawing/2014/main" id="{00000000-0008-0000-0A00-000004000000}"/>
            </a:ext>
          </a:extLst>
        </xdr:cNvPr>
        <xdr:cNvSpPr/>
      </xdr:nvSpPr>
      <xdr:spPr>
        <a:xfrm>
          <a:off x="6908800" y="243221"/>
          <a:ext cx="1645920" cy="372110"/>
        </a:xfrm>
        <a:prstGeom prst="rect">
          <a:avLst/>
        </a:prstGeom>
        <a:solidFill>
          <a:srgbClr val="CDDEE5"/>
        </a:solidFill>
        <a:ln>
          <a:noFill/>
        </a:ln>
        <a:effectLst>
          <a:outerShdw blurRad="38100" dist="25400" dir="2700000" algn="tl" rotWithShape="0">
            <a:schemeClr val="bg2">
              <a:lumMod val="25000"/>
              <a:alpha val="20000"/>
            </a:schemeClr>
          </a:outerShdw>
        </a:effectLst>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u="none">
              <a:solidFill>
                <a:sysClr val="windowText" lastClr="000000"/>
              </a:solidFill>
              <a:latin typeface="Segoe UI Semibold" panose="020B0702040204020203" pitchFamily="34" charset="0"/>
              <a:cs typeface="Segoe UI Semibold" panose="020B0702040204020203" pitchFamily="34" charset="0"/>
            </a:rPr>
            <a:t>App</a:t>
          </a:r>
          <a:r>
            <a:rPr lang="en-US" sz="1050" u="none" baseline="0">
              <a:solidFill>
                <a:sysClr val="windowText" lastClr="000000"/>
              </a:solidFill>
              <a:latin typeface="Segoe UI Semibold" panose="020B0702040204020203" pitchFamily="34" charset="0"/>
              <a:cs typeface="Segoe UI Semibold" panose="020B0702040204020203" pitchFamily="34" charset="0"/>
            </a:rPr>
            <a:t> D Glossary &gt;</a:t>
          </a:r>
          <a:endParaRPr lang="en-US" sz="1050" u="none">
            <a:solidFill>
              <a:sysClr val="windowText" lastClr="000000"/>
            </a:solidFill>
            <a:latin typeface="Segoe UI Semibold" panose="020B0702040204020203" pitchFamily="34" charset="0"/>
            <a:cs typeface="Segoe UI Semibold" panose="020B0702040204020203" pitchFamily="34" charset="0"/>
          </a:endParaRPr>
        </a:p>
      </xdr:txBody>
    </xdr:sp>
    <xdr:clientData/>
  </xdr:twoCellAnchor>
  <xdr:twoCellAnchor>
    <xdr:from>
      <xdr:col>2</xdr:col>
      <xdr:colOff>4403725</xdr:colOff>
      <xdr:row>35</xdr:row>
      <xdr:rowOff>31297</xdr:rowOff>
    </xdr:from>
    <xdr:to>
      <xdr:col>3</xdr:col>
      <xdr:colOff>8890</xdr:colOff>
      <xdr:row>35</xdr:row>
      <xdr:rowOff>397057</xdr:rowOff>
    </xdr:to>
    <xdr:sp macro="" textlink="">
      <xdr:nvSpPr>
        <xdr:cNvPr id="5" name="Rectangle 4">
          <a:hlinkClick xmlns:r="http://schemas.openxmlformats.org/officeDocument/2006/relationships" r:id="rId2"/>
          <a:extLst>
            <a:ext uri="{FF2B5EF4-FFF2-40B4-BE49-F238E27FC236}">
              <a16:creationId xmlns:a16="http://schemas.microsoft.com/office/drawing/2014/main" id="{00000000-0008-0000-0A00-000005000000}"/>
            </a:ext>
          </a:extLst>
        </xdr:cNvPr>
        <xdr:cNvSpPr/>
      </xdr:nvSpPr>
      <xdr:spPr>
        <a:xfrm>
          <a:off x="7346950" y="14309272"/>
          <a:ext cx="1234440" cy="365760"/>
        </a:xfrm>
        <a:prstGeom prst="rect">
          <a:avLst/>
        </a:prstGeom>
        <a:solidFill>
          <a:srgbClr val="CDDEE5"/>
        </a:solidFill>
        <a:ln>
          <a:noFill/>
        </a:ln>
        <a:effectLst>
          <a:outerShdw blurRad="38100" dist="25400" dir="2700000" algn="tl" rotWithShape="0">
            <a:schemeClr val="bg2">
              <a:lumMod val="25000"/>
              <a:alpha val="20000"/>
            </a:schemeClr>
          </a:outerShdw>
        </a:effectLst>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u="none" baseline="0">
              <a:solidFill>
                <a:sysClr val="windowText" lastClr="000000"/>
              </a:solidFill>
              <a:latin typeface="Franklin Gothic Medium" panose="020B0603020102020204" pitchFamily="34" charset="0"/>
            </a:rPr>
            <a:t>&gt; </a:t>
          </a:r>
          <a:endParaRPr lang="en-US" sz="1050" u="none">
            <a:solidFill>
              <a:sysClr val="windowText" lastClr="000000"/>
            </a:solidFill>
            <a:latin typeface="Franklin Gothic Medium" panose="020B0603020102020204" pitchFamily="34" charset="0"/>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3</xdr:col>
      <xdr:colOff>5397316</xdr:colOff>
      <xdr:row>0</xdr:row>
      <xdr:rowOff>286418</xdr:rowOff>
    </xdr:from>
    <xdr:to>
      <xdr:col>3</xdr:col>
      <xdr:colOff>7043236</xdr:colOff>
      <xdr:row>1</xdr:row>
      <xdr:rowOff>296578</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00000000-0008-0000-0B00-000002000000}"/>
            </a:ext>
          </a:extLst>
        </xdr:cNvPr>
        <xdr:cNvSpPr/>
      </xdr:nvSpPr>
      <xdr:spPr>
        <a:xfrm>
          <a:off x="11636191" y="286418"/>
          <a:ext cx="1645920" cy="372110"/>
        </a:xfrm>
        <a:prstGeom prst="rect">
          <a:avLst/>
        </a:prstGeom>
        <a:solidFill>
          <a:srgbClr val="CDDEE5"/>
        </a:solidFill>
        <a:ln>
          <a:noFill/>
        </a:ln>
        <a:effectLst>
          <a:outerShdw blurRad="38100" dist="25400" dir="2700000" algn="tl" rotWithShape="0">
            <a:schemeClr val="bg2">
              <a:lumMod val="25000"/>
              <a:alpha val="20000"/>
            </a:schemeClr>
          </a:outerShdw>
        </a:effectLst>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u="none">
              <a:solidFill>
                <a:sysClr val="windowText" lastClr="000000"/>
              </a:solidFill>
              <a:latin typeface="Segoe UI Semibold" panose="020B0702040204020203" pitchFamily="34" charset="0"/>
              <a:cs typeface="Segoe UI Semibold" panose="020B0702040204020203" pitchFamily="34" charset="0"/>
            </a:rPr>
            <a:t>&lt;</a:t>
          </a:r>
          <a:r>
            <a:rPr lang="en-US" sz="1050" u="none" baseline="0">
              <a:solidFill>
                <a:sysClr val="windowText" lastClr="000000"/>
              </a:solidFill>
              <a:latin typeface="Segoe UI Semibold" panose="020B0702040204020203" pitchFamily="34" charset="0"/>
              <a:cs typeface="Segoe UI Semibold" panose="020B0702040204020203" pitchFamily="34" charset="0"/>
            </a:rPr>
            <a:t> </a:t>
          </a:r>
          <a:r>
            <a:rPr lang="en-US" sz="1050" u="none">
              <a:solidFill>
                <a:sysClr val="windowText" lastClr="000000"/>
              </a:solidFill>
              <a:latin typeface="Segoe UI Semibold" panose="020B0702040204020203" pitchFamily="34" charset="0"/>
              <a:cs typeface="Segoe UI Semibold" panose="020B0702040204020203" pitchFamily="34" charset="0"/>
            </a:rPr>
            <a:t>App C Acronyms</a:t>
          </a:r>
        </a:p>
      </xdr:txBody>
    </xdr:sp>
    <xdr:clientData/>
  </xdr:twoCellAnchor>
  <xdr:twoCellAnchor>
    <xdr:from>
      <xdr:col>3</xdr:col>
      <xdr:colOff>5899155</xdr:colOff>
      <xdr:row>19</xdr:row>
      <xdr:rowOff>37194</xdr:rowOff>
    </xdr:from>
    <xdr:to>
      <xdr:col>4</xdr:col>
      <xdr:colOff>21595</xdr:colOff>
      <xdr:row>19</xdr:row>
      <xdr:rowOff>404315</xdr:rowOff>
    </xdr:to>
    <xdr:sp macro="" textlink="">
      <xdr:nvSpPr>
        <xdr:cNvPr id="3" name="Rectangle 2">
          <a:hlinkClick xmlns:r="http://schemas.openxmlformats.org/officeDocument/2006/relationships" r:id="rId1"/>
          <a:extLst>
            <a:ext uri="{FF2B5EF4-FFF2-40B4-BE49-F238E27FC236}">
              <a16:creationId xmlns:a16="http://schemas.microsoft.com/office/drawing/2014/main" id="{00000000-0008-0000-0B00-000003000000}"/>
            </a:ext>
          </a:extLst>
        </xdr:cNvPr>
        <xdr:cNvSpPr/>
      </xdr:nvSpPr>
      <xdr:spPr>
        <a:xfrm>
          <a:off x="12138030" y="7847694"/>
          <a:ext cx="1189990" cy="367121"/>
        </a:xfrm>
        <a:prstGeom prst="rect">
          <a:avLst/>
        </a:prstGeom>
        <a:solidFill>
          <a:srgbClr val="CDDEE5"/>
        </a:solidFill>
        <a:ln>
          <a:noFill/>
        </a:ln>
        <a:effectLst>
          <a:outerShdw blurRad="38100" dist="25400" dir="2700000" algn="tl" rotWithShape="0">
            <a:schemeClr val="bg2">
              <a:lumMod val="25000"/>
              <a:alpha val="20000"/>
            </a:schemeClr>
          </a:outerShdw>
        </a:effectLst>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u="none">
              <a:solidFill>
                <a:sysClr val="windowText" lastClr="000000"/>
              </a:solidFill>
              <a:latin typeface="Franklin Gothic Medium" panose="020B0603020102020204" pitchFamily="34" charset="0"/>
            </a:rPr>
            <a:t>&lt;</a:t>
          </a:r>
          <a:r>
            <a:rPr lang="en-US" sz="1050" u="none" baseline="0">
              <a:solidFill>
                <a:sysClr val="windowText" lastClr="000000"/>
              </a:solidFill>
              <a:latin typeface="Franklin Gothic Medium" panose="020B0603020102020204" pitchFamily="34" charset="0"/>
            </a:rPr>
            <a:t> </a:t>
          </a:r>
          <a:endParaRPr lang="en-US" sz="1050" u="none">
            <a:solidFill>
              <a:sysClr val="windowText" lastClr="000000"/>
            </a:solidFill>
            <a:latin typeface="Franklin Gothic Medium" panose="020B06030201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5469305</xdr:colOff>
      <xdr:row>69</xdr:row>
      <xdr:rowOff>6350</xdr:rowOff>
    </xdr:from>
    <xdr:to>
      <xdr:col>3</xdr:col>
      <xdr:colOff>6703745</xdr:colOff>
      <xdr:row>69</xdr:row>
      <xdr:rowOff>373471</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00000000-0008-0000-0200-000002000000}"/>
            </a:ext>
          </a:extLst>
        </xdr:cNvPr>
        <xdr:cNvSpPr/>
      </xdr:nvSpPr>
      <xdr:spPr>
        <a:xfrm>
          <a:off x="11074768" y="123388438"/>
          <a:ext cx="0" cy="367121"/>
        </a:xfrm>
        <a:prstGeom prst="rect">
          <a:avLst/>
        </a:prstGeom>
        <a:solidFill>
          <a:srgbClr val="996633"/>
        </a:solidFill>
        <a:ln>
          <a:noFill/>
        </a:ln>
        <a:effectLst>
          <a:outerShdw blurRad="38100" dist="25400" dir="2700000" algn="tl" rotWithShape="0">
            <a:schemeClr val="bg2">
              <a:lumMod val="25000"/>
              <a:alpha val="20000"/>
            </a:schemeClr>
          </a:outerShdw>
        </a:effectLst>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u="none">
              <a:solidFill>
                <a:schemeClr val="bg1"/>
              </a:solidFill>
              <a:latin typeface="Franklin Gothic Medium" panose="020B0603020102020204" pitchFamily="34" charset="0"/>
            </a:rPr>
            <a:t>&lt;</a:t>
          </a:r>
          <a:r>
            <a:rPr lang="en-US" sz="1050" u="none" baseline="0">
              <a:solidFill>
                <a:schemeClr val="bg1"/>
              </a:solidFill>
              <a:latin typeface="Franklin Gothic Medium" panose="020B0603020102020204" pitchFamily="34" charset="0"/>
            </a:rPr>
            <a:t> </a:t>
          </a:r>
          <a:endParaRPr lang="en-US" sz="1050" u="none">
            <a:solidFill>
              <a:schemeClr val="bg1"/>
            </a:solidFill>
            <a:latin typeface="Franklin Gothic Medium" panose="020B0603020102020204" pitchFamily="34" charset="0"/>
          </a:endParaRPr>
        </a:p>
      </xdr:txBody>
    </xdr:sp>
    <xdr:clientData/>
  </xdr:twoCellAnchor>
  <xdr:twoCellAnchor>
    <xdr:from>
      <xdr:col>3</xdr:col>
      <xdr:colOff>2530474</xdr:colOff>
      <xdr:row>68</xdr:row>
      <xdr:rowOff>110117</xdr:rowOff>
    </xdr:from>
    <xdr:to>
      <xdr:col>3</xdr:col>
      <xdr:colOff>3764914</xdr:colOff>
      <xdr:row>69</xdr:row>
      <xdr:rowOff>221877</xdr:rowOff>
    </xdr:to>
    <xdr:sp macro="" textlink="">
      <xdr:nvSpPr>
        <xdr:cNvPr id="3" name="Rectangle 2">
          <a:hlinkClick xmlns:r="http://schemas.openxmlformats.org/officeDocument/2006/relationships" r:id="rId2"/>
          <a:extLst>
            <a:ext uri="{FF2B5EF4-FFF2-40B4-BE49-F238E27FC236}">
              <a16:creationId xmlns:a16="http://schemas.microsoft.com/office/drawing/2014/main" id="{00000000-0008-0000-0200-000003000000}"/>
            </a:ext>
          </a:extLst>
        </xdr:cNvPr>
        <xdr:cNvSpPr/>
      </xdr:nvSpPr>
      <xdr:spPr>
        <a:xfrm>
          <a:off x="9898062" y="123239792"/>
          <a:ext cx="1172527" cy="364173"/>
        </a:xfrm>
        <a:prstGeom prst="rect">
          <a:avLst/>
        </a:prstGeom>
        <a:solidFill>
          <a:srgbClr val="CDDEE5"/>
        </a:solidFill>
        <a:ln>
          <a:noFill/>
        </a:ln>
        <a:effectLst>
          <a:outerShdw blurRad="38100" dist="25400" dir="2700000" algn="tl" rotWithShape="0">
            <a:schemeClr val="bg2">
              <a:lumMod val="25000"/>
              <a:alpha val="20000"/>
            </a:schemeClr>
          </a:outerShdw>
        </a:effectLst>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u="none" baseline="0">
              <a:solidFill>
                <a:sysClr val="windowText" lastClr="000000"/>
              </a:solidFill>
              <a:latin typeface="Franklin Gothic Medium" panose="020B0603020102020204" pitchFamily="34" charset="0"/>
            </a:rPr>
            <a:t>&gt;</a:t>
          </a:r>
          <a:endParaRPr lang="en-US" sz="1050" u="none">
            <a:solidFill>
              <a:sysClr val="windowText" lastClr="000000"/>
            </a:solidFill>
            <a:latin typeface="Franklin Gothic Medium" panose="020B0603020102020204" pitchFamily="34" charset="0"/>
          </a:endParaRPr>
        </a:p>
      </xdr:txBody>
    </xdr:sp>
    <xdr:clientData/>
  </xdr:twoCellAnchor>
  <xdr:twoCellAnchor>
    <xdr:from>
      <xdr:col>3</xdr:col>
      <xdr:colOff>304800</xdr:colOff>
      <xdr:row>0</xdr:row>
      <xdr:rowOff>314960</xdr:rowOff>
    </xdr:from>
    <xdr:to>
      <xdr:col>3</xdr:col>
      <xdr:colOff>1950720</xdr:colOff>
      <xdr:row>1</xdr:row>
      <xdr:rowOff>328295</xdr:rowOff>
    </xdr:to>
    <xdr:sp macro="" textlink="">
      <xdr:nvSpPr>
        <xdr:cNvPr id="4" name="Rectangle 3">
          <a:hlinkClick xmlns:r="http://schemas.openxmlformats.org/officeDocument/2006/relationships" r:id="rId3"/>
          <a:extLst>
            <a:ext uri="{FF2B5EF4-FFF2-40B4-BE49-F238E27FC236}">
              <a16:creationId xmlns:a16="http://schemas.microsoft.com/office/drawing/2014/main" id="{00000000-0008-0000-0200-000004000000}"/>
            </a:ext>
          </a:extLst>
        </xdr:cNvPr>
        <xdr:cNvSpPr/>
      </xdr:nvSpPr>
      <xdr:spPr>
        <a:xfrm>
          <a:off x="7672388" y="314960"/>
          <a:ext cx="1645920" cy="370523"/>
        </a:xfrm>
        <a:prstGeom prst="rect">
          <a:avLst/>
        </a:prstGeom>
        <a:solidFill>
          <a:srgbClr val="CDDEE5"/>
        </a:solidFill>
        <a:ln>
          <a:noFill/>
        </a:ln>
        <a:effectLst>
          <a:outerShdw blurRad="38100" dist="25400" dir="2700000" algn="tl" rotWithShape="0">
            <a:schemeClr val="bg2">
              <a:lumMod val="25000"/>
              <a:alpha val="20000"/>
            </a:schemeClr>
          </a:outerShdw>
        </a:effectLst>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u="none">
              <a:solidFill>
                <a:sysClr val="windowText" lastClr="000000"/>
              </a:solidFill>
              <a:latin typeface="Segoe UI Semibold" panose="020B0702040204020203" pitchFamily="34" charset="0"/>
              <a:cs typeface="Segoe UI Semibold" panose="020B0702040204020203" pitchFamily="34" charset="0"/>
            </a:rPr>
            <a:t>&lt;</a:t>
          </a:r>
          <a:r>
            <a:rPr lang="en-US" sz="1050" u="none" baseline="0">
              <a:solidFill>
                <a:sysClr val="windowText" lastClr="000000"/>
              </a:solidFill>
              <a:latin typeface="Segoe UI Semibold" panose="020B0702040204020203" pitchFamily="34" charset="0"/>
              <a:cs typeface="Segoe UI Semibold" panose="020B0702040204020203" pitchFamily="34" charset="0"/>
            </a:rPr>
            <a:t> Revision Log</a:t>
          </a:r>
          <a:endParaRPr lang="en-US" sz="1050" u="none">
            <a:solidFill>
              <a:sysClr val="windowText" lastClr="000000"/>
            </a:solidFill>
            <a:latin typeface="Segoe UI Semibold" panose="020B0702040204020203" pitchFamily="34" charset="0"/>
            <a:cs typeface="Segoe UI Semibold" panose="020B0702040204020203" pitchFamily="34" charset="0"/>
          </a:endParaRPr>
        </a:p>
      </xdr:txBody>
    </xdr:sp>
    <xdr:clientData/>
  </xdr:twoCellAnchor>
  <xdr:twoCellAnchor>
    <xdr:from>
      <xdr:col>3</xdr:col>
      <xdr:colOff>2011680</xdr:colOff>
      <xdr:row>0</xdr:row>
      <xdr:rowOff>310515</xdr:rowOff>
    </xdr:from>
    <xdr:to>
      <xdr:col>3</xdr:col>
      <xdr:colOff>3657600</xdr:colOff>
      <xdr:row>1</xdr:row>
      <xdr:rowOff>314325</xdr:rowOff>
    </xdr:to>
    <xdr:sp macro="" textlink="">
      <xdr:nvSpPr>
        <xdr:cNvPr id="5" name="Rectangle 4">
          <a:hlinkClick xmlns:r="http://schemas.openxmlformats.org/officeDocument/2006/relationships" r:id="rId2"/>
          <a:extLst>
            <a:ext uri="{FF2B5EF4-FFF2-40B4-BE49-F238E27FC236}">
              <a16:creationId xmlns:a16="http://schemas.microsoft.com/office/drawing/2014/main" id="{00000000-0008-0000-0200-000005000000}"/>
            </a:ext>
          </a:extLst>
        </xdr:cNvPr>
        <xdr:cNvSpPr/>
      </xdr:nvSpPr>
      <xdr:spPr>
        <a:xfrm>
          <a:off x="9574530" y="310515"/>
          <a:ext cx="1645920" cy="365760"/>
        </a:xfrm>
        <a:prstGeom prst="rect">
          <a:avLst/>
        </a:prstGeom>
        <a:solidFill>
          <a:srgbClr val="CDDEE5"/>
        </a:solidFill>
        <a:ln>
          <a:noFill/>
        </a:ln>
        <a:effectLst>
          <a:outerShdw blurRad="38100" dist="25400" dir="2700000" algn="tl" rotWithShape="0">
            <a:schemeClr val="bg2">
              <a:lumMod val="25000"/>
              <a:alpha val="20000"/>
            </a:schemeClr>
          </a:outerShdw>
        </a:effectLst>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u="none" baseline="0">
              <a:solidFill>
                <a:sysClr val="windowText" lastClr="000000"/>
              </a:solidFill>
              <a:latin typeface="Segoe UI Semibold" panose="020B0702040204020203" pitchFamily="34" charset="0"/>
              <a:cs typeface="Segoe UI Semibold" panose="020B0702040204020203" pitchFamily="34" charset="0"/>
            </a:rPr>
            <a:t> Form Instructions &gt;</a:t>
          </a:r>
          <a:endParaRPr lang="en-US" sz="1050" u="none">
            <a:solidFill>
              <a:sysClr val="windowText" lastClr="000000"/>
            </a:solidFill>
            <a:latin typeface="Segoe UI Semibold" panose="020B0702040204020203" pitchFamily="34" charset="0"/>
            <a:cs typeface="Segoe UI Semibold" panose="020B0702040204020203" pitchFamily="34" charset="0"/>
          </a:endParaRPr>
        </a:p>
      </xdr:txBody>
    </xdr:sp>
    <xdr:clientData/>
  </xdr:twoCellAnchor>
  <xdr:twoCellAnchor>
    <xdr:from>
      <xdr:col>3</xdr:col>
      <xdr:colOff>1262990</xdr:colOff>
      <xdr:row>68</xdr:row>
      <xdr:rowOff>107950</xdr:rowOff>
    </xdr:from>
    <xdr:to>
      <xdr:col>3</xdr:col>
      <xdr:colOff>2497430</xdr:colOff>
      <xdr:row>69</xdr:row>
      <xdr:rowOff>221071</xdr:rowOff>
    </xdr:to>
    <xdr:sp macro="" textlink="">
      <xdr:nvSpPr>
        <xdr:cNvPr id="6" name="Rectangle 5">
          <a:hlinkClick xmlns:r="http://schemas.openxmlformats.org/officeDocument/2006/relationships" r:id="rId3"/>
          <a:extLst>
            <a:ext uri="{FF2B5EF4-FFF2-40B4-BE49-F238E27FC236}">
              <a16:creationId xmlns:a16="http://schemas.microsoft.com/office/drawing/2014/main" id="{00000000-0008-0000-0200-000006000000}"/>
            </a:ext>
          </a:extLst>
        </xdr:cNvPr>
        <xdr:cNvSpPr/>
      </xdr:nvSpPr>
      <xdr:spPr>
        <a:xfrm>
          <a:off x="8630578" y="123237625"/>
          <a:ext cx="1234440" cy="365534"/>
        </a:xfrm>
        <a:prstGeom prst="rect">
          <a:avLst/>
        </a:prstGeom>
        <a:solidFill>
          <a:srgbClr val="CDDEE5"/>
        </a:solidFill>
        <a:ln>
          <a:noFill/>
        </a:ln>
        <a:effectLst>
          <a:outerShdw blurRad="38100" dist="25400" dir="2700000" algn="tl" rotWithShape="0">
            <a:schemeClr val="bg2">
              <a:lumMod val="25000"/>
              <a:alpha val="20000"/>
            </a:schemeClr>
          </a:outerShdw>
        </a:effectLst>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u="none">
              <a:solidFill>
                <a:sysClr val="windowText" lastClr="000000"/>
              </a:solidFill>
              <a:latin typeface="Franklin Gothic Medium" panose="020B0603020102020204" pitchFamily="34" charset="0"/>
            </a:rPr>
            <a:t>&lt;</a:t>
          </a:r>
          <a:r>
            <a:rPr lang="en-US" sz="1050" u="none" baseline="0">
              <a:solidFill>
                <a:sysClr val="windowText" lastClr="000000"/>
              </a:solidFill>
              <a:latin typeface="Franklin Gothic Medium" panose="020B0603020102020204" pitchFamily="34" charset="0"/>
            </a:rPr>
            <a:t> </a:t>
          </a:r>
          <a:endParaRPr lang="en-US" sz="1050" u="none">
            <a:solidFill>
              <a:sysClr val="windowText" lastClr="000000"/>
            </a:solidFill>
            <a:latin typeface="Franklin Gothic Medium" panose="020B06030201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12369799</xdr:colOff>
      <xdr:row>20</xdr:row>
      <xdr:rowOff>127262</xdr:rowOff>
    </xdr:from>
    <xdr:to>
      <xdr:col>1</xdr:col>
      <xdr:colOff>13600429</xdr:colOff>
      <xdr:row>20</xdr:row>
      <xdr:rowOff>486672</xdr:rowOff>
    </xdr:to>
    <xdr:sp macro="" textlink="">
      <xdr:nvSpPr>
        <xdr:cNvPr id="3" name="Rectangle 2">
          <a:hlinkClick xmlns:r="http://schemas.openxmlformats.org/officeDocument/2006/relationships" r:id="rId1"/>
          <a:extLst>
            <a:ext uri="{FF2B5EF4-FFF2-40B4-BE49-F238E27FC236}">
              <a16:creationId xmlns:a16="http://schemas.microsoft.com/office/drawing/2014/main" id="{00000000-0008-0000-0300-000003000000}"/>
            </a:ext>
          </a:extLst>
        </xdr:cNvPr>
        <xdr:cNvSpPr/>
      </xdr:nvSpPr>
      <xdr:spPr>
        <a:xfrm>
          <a:off x="13160374" y="4842137"/>
          <a:ext cx="1230630" cy="359410"/>
        </a:xfrm>
        <a:prstGeom prst="rect">
          <a:avLst/>
        </a:prstGeom>
        <a:solidFill>
          <a:srgbClr val="CDDEE5"/>
        </a:solidFill>
        <a:ln>
          <a:noFill/>
        </a:ln>
        <a:effectLst>
          <a:outerShdw blurRad="38100" dist="25400" dir="2700000" algn="tl" rotWithShape="0">
            <a:schemeClr val="bg2">
              <a:lumMod val="25000"/>
              <a:alpha val="20000"/>
            </a:schemeClr>
          </a:outerShdw>
        </a:effectLst>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u="none" baseline="0">
              <a:solidFill>
                <a:sysClr val="windowText" lastClr="000000"/>
              </a:solidFill>
              <a:latin typeface="Franklin Gothic Medium" panose="020B0603020102020204" pitchFamily="34" charset="0"/>
            </a:rPr>
            <a:t>&gt;</a:t>
          </a:r>
          <a:endParaRPr lang="en-US" sz="1050" u="none">
            <a:solidFill>
              <a:sysClr val="windowText" lastClr="000000"/>
            </a:solidFill>
            <a:latin typeface="Franklin Gothic Medium" panose="020B0603020102020204" pitchFamily="34" charset="0"/>
          </a:endParaRPr>
        </a:p>
      </xdr:txBody>
    </xdr:sp>
    <xdr:clientData/>
  </xdr:twoCellAnchor>
  <xdr:twoCellAnchor>
    <xdr:from>
      <xdr:col>1</xdr:col>
      <xdr:colOff>10304145</xdr:colOff>
      <xdr:row>0</xdr:row>
      <xdr:rowOff>286385</xdr:rowOff>
    </xdr:from>
    <xdr:to>
      <xdr:col>1</xdr:col>
      <xdr:colOff>11953875</xdr:colOff>
      <xdr:row>1</xdr:row>
      <xdr:rowOff>284480</xdr:rowOff>
    </xdr:to>
    <xdr:sp macro="" textlink="">
      <xdr:nvSpPr>
        <xdr:cNvPr id="4" name="Rectangle 3">
          <a:hlinkClick xmlns:r="http://schemas.openxmlformats.org/officeDocument/2006/relationships" r:id="rId2"/>
          <a:extLst>
            <a:ext uri="{FF2B5EF4-FFF2-40B4-BE49-F238E27FC236}">
              <a16:creationId xmlns:a16="http://schemas.microsoft.com/office/drawing/2014/main" id="{00000000-0008-0000-0300-000004000000}"/>
            </a:ext>
          </a:extLst>
        </xdr:cNvPr>
        <xdr:cNvSpPr/>
      </xdr:nvSpPr>
      <xdr:spPr>
        <a:xfrm>
          <a:off x="11094720" y="286385"/>
          <a:ext cx="1649730" cy="360045"/>
        </a:xfrm>
        <a:prstGeom prst="rect">
          <a:avLst/>
        </a:prstGeom>
        <a:solidFill>
          <a:srgbClr val="CDDEE5"/>
        </a:solidFill>
        <a:ln>
          <a:noFill/>
        </a:ln>
        <a:effectLst>
          <a:outerShdw blurRad="38100" dist="25400" dir="2700000" algn="tl" rotWithShape="0">
            <a:schemeClr val="bg2">
              <a:lumMod val="25000"/>
              <a:alpha val="20000"/>
            </a:schemeClr>
          </a:outerShdw>
        </a:effectLst>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u="none">
              <a:solidFill>
                <a:sysClr val="windowText" lastClr="000000"/>
              </a:solidFill>
              <a:latin typeface="Segoe UI Semibold" panose="020B0702040204020203" pitchFamily="34" charset="0"/>
              <a:cs typeface="Segoe UI Semibold" panose="020B0702040204020203" pitchFamily="34" charset="0"/>
            </a:rPr>
            <a:t>&lt;</a:t>
          </a:r>
          <a:r>
            <a:rPr lang="en-US" sz="1050" u="none" baseline="0">
              <a:solidFill>
                <a:sysClr val="windowText" lastClr="000000"/>
              </a:solidFill>
              <a:latin typeface="Segoe UI Semibold" panose="020B0702040204020203" pitchFamily="34" charset="0"/>
              <a:cs typeface="Segoe UI Semibold" panose="020B0702040204020203" pitchFamily="34" charset="0"/>
            </a:rPr>
            <a:t> About Request Form</a:t>
          </a:r>
          <a:endParaRPr lang="en-US" sz="1050" u="none">
            <a:solidFill>
              <a:sysClr val="windowText" lastClr="000000"/>
            </a:solidFill>
            <a:latin typeface="Segoe UI Semibold" panose="020B0702040204020203" pitchFamily="34" charset="0"/>
            <a:cs typeface="Segoe UI Semibold" panose="020B0702040204020203" pitchFamily="34" charset="0"/>
          </a:endParaRPr>
        </a:p>
      </xdr:txBody>
    </xdr:sp>
    <xdr:clientData/>
  </xdr:twoCellAnchor>
  <xdr:twoCellAnchor>
    <xdr:from>
      <xdr:col>1</xdr:col>
      <xdr:colOff>12007215</xdr:colOff>
      <xdr:row>0</xdr:row>
      <xdr:rowOff>295275</xdr:rowOff>
    </xdr:from>
    <xdr:to>
      <xdr:col>1</xdr:col>
      <xdr:colOff>13656945</xdr:colOff>
      <xdr:row>1</xdr:row>
      <xdr:rowOff>281940</xdr:rowOff>
    </xdr:to>
    <xdr:sp macro="" textlink="">
      <xdr:nvSpPr>
        <xdr:cNvPr id="5" name="Rectangle 4">
          <a:hlinkClick xmlns:r="http://schemas.openxmlformats.org/officeDocument/2006/relationships" r:id="rId1"/>
          <a:extLst>
            <a:ext uri="{FF2B5EF4-FFF2-40B4-BE49-F238E27FC236}">
              <a16:creationId xmlns:a16="http://schemas.microsoft.com/office/drawing/2014/main" id="{00000000-0008-0000-0300-000005000000}"/>
            </a:ext>
          </a:extLst>
        </xdr:cNvPr>
        <xdr:cNvSpPr/>
      </xdr:nvSpPr>
      <xdr:spPr>
        <a:xfrm>
          <a:off x="12797790" y="295275"/>
          <a:ext cx="1649730" cy="348615"/>
        </a:xfrm>
        <a:prstGeom prst="rect">
          <a:avLst/>
        </a:prstGeom>
        <a:solidFill>
          <a:srgbClr val="CDDEE5"/>
        </a:solidFill>
        <a:ln>
          <a:noFill/>
        </a:ln>
        <a:effectLst>
          <a:outerShdw blurRad="38100" dist="25400" dir="2700000" algn="tl" rotWithShape="0">
            <a:schemeClr val="bg2">
              <a:lumMod val="25000"/>
              <a:alpha val="20000"/>
            </a:schemeClr>
          </a:outerShdw>
        </a:effectLst>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u="none" baseline="0">
              <a:solidFill>
                <a:sysClr val="windowText" lastClr="000000"/>
              </a:solidFill>
              <a:latin typeface="Segoe UI Semibold" panose="020B0702040204020203" pitchFamily="34" charset="0"/>
              <a:cs typeface="Segoe UI Semibold" panose="020B0702040204020203" pitchFamily="34" charset="0"/>
            </a:rPr>
            <a:t> Research Project Info&gt;</a:t>
          </a:r>
          <a:endParaRPr lang="en-US" sz="1050" u="none">
            <a:solidFill>
              <a:sysClr val="windowText" lastClr="000000"/>
            </a:solidFill>
            <a:latin typeface="Segoe UI Semibold" panose="020B0702040204020203" pitchFamily="34" charset="0"/>
            <a:cs typeface="Segoe UI Semibold" panose="020B0702040204020203" pitchFamily="34" charset="0"/>
          </a:endParaRPr>
        </a:p>
      </xdr:txBody>
    </xdr:sp>
    <xdr:clientData/>
  </xdr:twoCellAnchor>
  <xdr:twoCellAnchor>
    <xdr:from>
      <xdr:col>1</xdr:col>
      <xdr:colOff>11106125</xdr:colOff>
      <xdr:row>20</xdr:row>
      <xdr:rowOff>125095</xdr:rowOff>
    </xdr:from>
    <xdr:to>
      <xdr:col>1</xdr:col>
      <xdr:colOff>12336755</xdr:colOff>
      <xdr:row>20</xdr:row>
      <xdr:rowOff>485866</xdr:rowOff>
    </xdr:to>
    <xdr:sp macro="" textlink="">
      <xdr:nvSpPr>
        <xdr:cNvPr id="6" name="Rectangle 5">
          <a:hlinkClick xmlns:r="http://schemas.openxmlformats.org/officeDocument/2006/relationships" r:id="rId2"/>
          <a:extLst>
            <a:ext uri="{FF2B5EF4-FFF2-40B4-BE49-F238E27FC236}">
              <a16:creationId xmlns:a16="http://schemas.microsoft.com/office/drawing/2014/main" id="{00000000-0008-0000-0300-000006000000}"/>
            </a:ext>
          </a:extLst>
        </xdr:cNvPr>
        <xdr:cNvSpPr/>
      </xdr:nvSpPr>
      <xdr:spPr>
        <a:xfrm>
          <a:off x="11896700" y="4839970"/>
          <a:ext cx="1230630" cy="360771"/>
        </a:xfrm>
        <a:prstGeom prst="rect">
          <a:avLst/>
        </a:prstGeom>
        <a:solidFill>
          <a:srgbClr val="CDDEE5"/>
        </a:solidFill>
        <a:ln>
          <a:noFill/>
        </a:ln>
        <a:effectLst>
          <a:outerShdw blurRad="38100" dist="25400" dir="2700000" algn="tl" rotWithShape="0">
            <a:schemeClr val="bg2">
              <a:lumMod val="25000"/>
              <a:alpha val="20000"/>
            </a:schemeClr>
          </a:outerShdw>
        </a:effectLst>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u="none">
              <a:solidFill>
                <a:sysClr val="windowText" lastClr="000000"/>
              </a:solidFill>
              <a:latin typeface="Franklin Gothic Medium" panose="020B0603020102020204" pitchFamily="34" charset="0"/>
            </a:rPr>
            <a:t>&lt;</a:t>
          </a:r>
          <a:r>
            <a:rPr lang="en-US" sz="1050" u="none" baseline="0">
              <a:solidFill>
                <a:sysClr val="windowText" lastClr="000000"/>
              </a:solidFill>
              <a:latin typeface="Franklin Gothic Medium" panose="020B0603020102020204" pitchFamily="34" charset="0"/>
            </a:rPr>
            <a:t> </a:t>
          </a:r>
          <a:endParaRPr lang="en-US" sz="1050" u="none">
            <a:solidFill>
              <a:sysClr val="windowText" lastClr="000000"/>
            </a:solidFill>
            <a:latin typeface="Franklin Gothic Medium" panose="020B06030201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171450</xdr:colOff>
      <xdr:row>0</xdr:row>
      <xdr:rowOff>321050</xdr:rowOff>
    </xdr:from>
    <xdr:to>
      <xdr:col>5</xdr:col>
      <xdr:colOff>1916430</xdr:colOff>
      <xdr:row>1</xdr:row>
      <xdr:rowOff>324860</xdr:rowOff>
    </xdr:to>
    <xdr:sp macro="" textlink="">
      <xdr:nvSpPr>
        <xdr:cNvPr id="10" name="Rectangle 9">
          <a:hlinkClick xmlns:r="http://schemas.openxmlformats.org/officeDocument/2006/relationships" r:id="rId1"/>
          <a:extLst>
            <a:ext uri="{FF2B5EF4-FFF2-40B4-BE49-F238E27FC236}">
              <a16:creationId xmlns:a16="http://schemas.microsoft.com/office/drawing/2014/main" id="{00000000-0008-0000-0400-00000A000000}"/>
            </a:ext>
          </a:extLst>
        </xdr:cNvPr>
        <xdr:cNvSpPr/>
      </xdr:nvSpPr>
      <xdr:spPr>
        <a:xfrm>
          <a:off x="9210675" y="321050"/>
          <a:ext cx="1744980" cy="365760"/>
        </a:xfrm>
        <a:prstGeom prst="rect">
          <a:avLst/>
        </a:prstGeom>
        <a:solidFill>
          <a:srgbClr val="CDDEE5"/>
        </a:solidFill>
        <a:ln>
          <a:noFill/>
        </a:ln>
        <a:effectLst>
          <a:outerShdw blurRad="38100" dist="25400" dir="2700000" algn="tl" rotWithShape="0">
            <a:schemeClr val="bg2">
              <a:lumMod val="25000"/>
              <a:alpha val="20000"/>
            </a:schemeClr>
          </a:outerShdw>
        </a:effectLst>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u="none">
              <a:solidFill>
                <a:sysClr val="windowText" lastClr="000000"/>
              </a:solidFill>
              <a:latin typeface="Segoe UI Semibold" panose="020B0702040204020203" pitchFamily="34" charset="0"/>
              <a:cs typeface="Segoe UI Semibold" panose="020B0702040204020203" pitchFamily="34" charset="0"/>
            </a:rPr>
            <a:t>&lt;</a:t>
          </a:r>
          <a:r>
            <a:rPr lang="en-US" sz="1050" u="none" baseline="0">
              <a:solidFill>
                <a:sysClr val="windowText" lastClr="000000"/>
              </a:solidFill>
              <a:latin typeface="Segoe UI Semibold" panose="020B0702040204020203" pitchFamily="34" charset="0"/>
              <a:cs typeface="Segoe UI Semibold" panose="020B0702040204020203" pitchFamily="34" charset="0"/>
            </a:rPr>
            <a:t> </a:t>
          </a:r>
          <a:r>
            <a:rPr lang="en-US" sz="1050" u="none">
              <a:solidFill>
                <a:sysClr val="windowText" lastClr="000000"/>
              </a:solidFill>
              <a:latin typeface="Segoe UI Semibold" panose="020B0702040204020203" pitchFamily="34" charset="0"/>
              <a:cs typeface="Segoe UI Semibold" panose="020B0702040204020203" pitchFamily="34" charset="0"/>
            </a:rPr>
            <a:t>Form Instructions</a:t>
          </a:r>
        </a:p>
      </xdr:txBody>
    </xdr:sp>
    <xdr:clientData/>
  </xdr:twoCellAnchor>
  <xdr:twoCellAnchor>
    <xdr:from>
      <xdr:col>5</xdr:col>
      <xdr:colOff>1964055</xdr:colOff>
      <xdr:row>0</xdr:row>
      <xdr:rowOff>321050</xdr:rowOff>
    </xdr:from>
    <xdr:to>
      <xdr:col>6</xdr:col>
      <xdr:colOff>293370</xdr:colOff>
      <xdr:row>1</xdr:row>
      <xdr:rowOff>324860</xdr:rowOff>
    </xdr:to>
    <xdr:sp macro="" textlink="">
      <xdr:nvSpPr>
        <xdr:cNvPr id="11" name="Rectangle 10">
          <a:hlinkClick xmlns:r="http://schemas.openxmlformats.org/officeDocument/2006/relationships" r:id="rId2"/>
          <a:extLst>
            <a:ext uri="{FF2B5EF4-FFF2-40B4-BE49-F238E27FC236}">
              <a16:creationId xmlns:a16="http://schemas.microsoft.com/office/drawing/2014/main" id="{00000000-0008-0000-0400-00000B000000}"/>
            </a:ext>
          </a:extLst>
        </xdr:cNvPr>
        <xdr:cNvSpPr/>
      </xdr:nvSpPr>
      <xdr:spPr>
        <a:xfrm>
          <a:off x="11003280" y="321050"/>
          <a:ext cx="1739265" cy="365760"/>
        </a:xfrm>
        <a:prstGeom prst="rect">
          <a:avLst/>
        </a:prstGeom>
        <a:solidFill>
          <a:srgbClr val="CDDEE5"/>
        </a:solidFill>
        <a:ln>
          <a:noFill/>
        </a:ln>
        <a:effectLst>
          <a:outerShdw blurRad="38100" dist="25400" dir="2700000" algn="tl" rotWithShape="0">
            <a:schemeClr val="bg2">
              <a:lumMod val="25000"/>
              <a:alpha val="20000"/>
            </a:schemeClr>
          </a:outerShdw>
        </a:effectLst>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u="none">
              <a:solidFill>
                <a:sysClr val="windowText" lastClr="000000"/>
              </a:solidFill>
              <a:latin typeface="Segoe UI Semibold" panose="020B0702040204020203" pitchFamily="34" charset="0"/>
              <a:cs typeface="Segoe UI Semibold" panose="020B0702040204020203" pitchFamily="34" charset="0"/>
            </a:rPr>
            <a:t>File-Level </a:t>
          </a:r>
          <a:r>
            <a:rPr lang="en-US" sz="1050" u="none" baseline="0">
              <a:solidFill>
                <a:sysClr val="windowText" lastClr="000000"/>
              </a:solidFill>
              <a:latin typeface="Segoe UI Semibold" panose="020B0702040204020203" pitchFamily="34" charset="0"/>
              <a:cs typeface="Segoe UI Semibold" panose="020B0702040204020203" pitchFamily="34" charset="0"/>
            </a:rPr>
            <a:t>Request &gt;</a:t>
          </a:r>
          <a:endParaRPr lang="en-US" sz="1050" u="none">
            <a:solidFill>
              <a:sysClr val="windowText" lastClr="000000"/>
            </a:solidFill>
            <a:latin typeface="Segoe UI Semibold" panose="020B0702040204020203" pitchFamily="34" charset="0"/>
            <a:cs typeface="Segoe UI Semibold" panose="020B0702040204020203" pitchFamily="34" charset="0"/>
          </a:endParaRPr>
        </a:p>
      </xdr:txBody>
    </xdr:sp>
    <xdr:clientData/>
  </xdr:twoCellAnchor>
  <xdr:twoCellAnchor>
    <xdr:from>
      <xdr:col>5</xdr:col>
      <xdr:colOff>1501713</xdr:colOff>
      <xdr:row>47</xdr:row>
      <xdr:rowOff>177329</xdr:rowOff>
    </xdr:from>
    <xdr:to>
      <xdr:col>5</xdr:col>
      <xdr:colOff>2416113</xdr:colOff>
      <xdr:row>48</xdr:row>
      <xdr:rowOff>257339</xdr:rowOff>
    </xdr:to>
    <xdr:sp macro="" textlink="">
      <xdr:nvSpPr>
        <xdr:cNvPr id="12" name="Rectangle 11">
          <a:hlinkClick xmlns:r="http://schemas.openxmlformats.org/officeDocument/2006/relationships" r:id="rId1"/>
          <a:extLst>
            <a:ext uri="{FF2B5EF4-FFF2-40B4-BE49-F238E27FC236}">
              <a16:creationId xmlns:a16="http://schemas.microsoft.com/office/drawing/2014/main" id="{00000000-0008-0000-0400-00000C000000}"/>
            </a:ext>
          </a:extLst>
        </xdr:cNvPr>
        <xdr:cNvSpPr/>
      </xdr:nvSpPr>
      <xdr:spPr>
        <a:xfrm>
          <a:off x="10540938" y="23208779"/>
          <a:ext cx="914400" cy="327660"/>
        </a:xfrm>
        <a:prstGeom prst="rect">
          <a:avLst/>
        </a:prstGeom>
        <a:solidFill>
          <a:srgbClr val="CDDEE5"/>
        </a:solidFill>
        <a:ln>
          <a:noFill/>
        </a:ln>
        <a:effectLst>
          <a:outerShdw blurRad="38100" dist="25400" dir="2700000" algn="tl" rotWithShape="0">
            <a:schemeClr val="bg2">
              <a:lumMod val="25000"/>
              <a:alpha val="20000"/>
            </a:schemeClr>
          </a:outerShdw>
        </a:effectLst>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u="none">
              <a:solidFill>
                <a:sysClr val="windowText" lastClr="000000"/>
              </a:solidFill>
              <a:latin typeface="Franklin Gothic Medium" panose="020B0603020102020204" pitchFamily="34" charset="0"/>
            </a:rPr>
            <a:t>&lt;</a:t>
          </a:r>
          <a:r>
            <a:rPr lang="en-US" sz="1050" u="none" baseline="0">
              <a:solidFill>
                <a:sysClr val="windowText" lastClr="000000"/>
              </a:solidFill>
              <a:latin typeface="Franklin Gothic Medium" panose="020B0603020102020204" pitchFamily="34" charset="0"/>
            </a:rPr>
            <a:t> </a:t>
          </a:r>
          <a:endParaRPr lang="en-US" sz="1050" u="none">
            <a:solidFill>
              <a:sysClr val="windowText" lastClr="000000"/>
            </a:solidFill>
            <a:latin typeface="Franklin Gothic Medium" panose="020B0603020102020204" pitchFamily="34" charset="0"/>
          </a:endParaRPr>
        </a:p>
      </xdr:txBody>
    </xdr:sp>
    <xdr:clientData/>
  </xdr:twoCellAnchor>
  <xdr:twoCellAnchor>
    <xdr:from>
      <xdr:col>5</xdr:col>
      <xdr:colOff>2497455</xdr:colOff>
      <xdr:row>47</xdr:row>
      <xdr:rowOff>179234</xdr:rowOff>
    </xdr:from>
    <xdr:to>
      <xdr:col>6</xdr:col>
      <xdr:colOff>7620</xdr:colOff>
      <xdr:row>48</xdr:row>
      <xdr:rowOff>255434</xdr:rowOff>
    </xdr:to>
    <xdr:sp macro="" textlink="">
      <xdr:nvSpPr>
        <xdr:cNvPr id="13" name="Rectangle 12">
          <a:hlinkClick xmlns:r="http://schemas.openxmlformats.org/officeDocument/2006/relationships" r:id="rId2"/>
          <a:extLst>
            <a:ext uri="{FF2B5EF4-FFF2-40B4-BE49-F238E27FC236}">
              <a16:creationId xmlns:a16="http://schemas.microsoft.com/office/drawing/2014/main" id="{00000000-0008-0000-0400-00000D000000}"/>
            </a:ext>
          </a:extLst>
        </xdr:cNvPr>
        <xdr:cNvSpPr/>
      </xdr:nvSpPr>
      <xdr:spPr>
        <a:xfrm>
          <a:off x="11536680" y="23210684"/>
          <a:ext cx="920115" cy="323850"/>
        </a:xfrm>
        <a:prstGeom prst="rect">
          <a:avLst/>
        </a:prstGeom>
        <a:solidFill>
          <a:srgbClr val="CDDEE5"/>
        </a:solidFill>
        <a:ln>
          <a:noFill/>
        </a:ln>
        <a:effectLst>
          <a:outerShdw blurRad="38100" dist="25400" dir="2700000" algn="tl" rotWithShape="0">
            <a:schemeClr val="bg2">
              <a:lumMod val="25000"/>
              <a:alpha val="20000"/>
            </a:schemeClr>
          </a:outerShdw>
        </a:effectLst>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u="none" baseline="0">
              <a:solidFill>
                <a:sysClr val="windowText" lastClr="000000"/>
              </a:solidFill>
              <a:latin typeface="Franklin Gothic Medium" panose="020B0603020102020204" pitchFamily="34" charset="0"/>
            </a:rPr>
            <a:t>&gt;</a:t>
          </a:r>
          <a:endParaRPr lang="en-US" sz="1050" u="none">
            <a:solidFill>
              <a:sysClr val="windowText" lastClr="000000"/>
            </a:solidFill>
            <a:latin typeface="Franklin Gothic Medium" panose="020B0603020102020204" pitchFamily="34" charset="0"/>
          </a:endParaRPr>
        </a:p>
      </xdr:txBody>
    </xdr:sp>
    <xdr:clientData/>
  </xdr:twoCellAnchor>
  <mc:AlternateContent xmlns:mc="http://schemas.openxmlformats.org/markup-compatibility/2006">
    <mc:Choice xmlns:a14="http://schemas.microsoft.com/office/drawing/2010/main" Requires="a14">
      <xdr:twoCellAnchor editAs="oneCell">
        <xdr:from>
          <xdr:col>2</xdr:col>
          <xdr:colOff>95250</xdr:colOff>
          <xdr:row>22</xdr:row>
          <xdr:rowOff>114300</xdr:rowOff>
        </xdr:from>
        <xdr:to>
          <xdr:col>3</xdr:col>
          <xdr:colOff>3028950</xdr:colOff>
          <xdr:row>22</xdr:row>
          <xdr:rowOff>342900</xdr:rowOff>
        </xdr:to>
        <xdr:sp macro="" textlink="">
          <xdr:nvSpPr>
            <xdr:cNvPr id="1140" name="Option Button 116" descr="Click to Select Health and Retirement Study (HRS)" hidden="1">
              <a:extLst>
                <a:ext uri="{63B3BB69-23CF-44E3-9099-C40C66FF867C}">
                  <a14:compatExt spid="_x0000_s1140"/>
                </a:ext>
                <a:ext uri="{FF2B5EF4-FFF2-40B4-BE49-F238E27FC236}">
                  <a16:creationId xmlns:a16="http://schemas.microsoft.com/office/drawing/2014/main" id="{00000000-0008-0000-0400-00007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23</xdr:row>
          <xdr:rowOff>104775</xdr:rowOff>
        </xdr:from>
        <xdr:to>
          <xdr:col>3</xdr:col>
          <xdr:colOff>3019425</xdr:colOff>
          <xdr:row>23</xdr:row>
          <xdr:rowOff>371475</xdr:rowOff>
        </xdr:to>
        <xdr:sp macro="" textlink="">
          <xdr:nvSpPr>
            <xdr:cNvPr id="1130" name="Option Button 106" descr="Click to select Health, Aging, and Body Composition (Health ABC)" hidden="1">
              <a:extLst>
                <a:ext uri="{63B3BB69-23CF-44E3-9099-C40C66FF867C}">
                  <a14:compatExt spid="_x0000_s1130"/>
                </a:ext>
                <a:ext uri="{FF2B5EF4-FFF2-40B4-BE49-F238E27FC236}">
                  <a16:creationId xmlns:a16="http://schemas.microsoft.com/office/drawing/2014/main" id="{00000000-0008-0000-04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24</xdr:row>
          <xdr:rowOff>114300</xdr:rowOff>
        </xdr:from>
        <xdr:to>
          <xdr:col>3</xdr:col>
          <xdr:colOff>2181225</xdr:colOff>
          <xdr:row>24</xdr:row>
          <xdr:rowOff>333375</xdr:rowOff>
        </xdr:to>
        <xdr:sp macro="" textlink="">
          <xdr:nvSpPr>
            <xdr:cNvPr id="1134" name="Option Button 110" descr="Click to select Midlife in the United States (MIDUS)" hidden="1">
              <a:extLst>
                <a:ext uri="{63B3BB69-23CF-44E3-9099-C40C66FF867C}">
                  <a14:compatExt spid="_x0000_s1134"/>
                </a:ext>
                <a:ext uri="{FF2B5EF4-FFF2-40B4-BE49-F238E27FC236}">
                  <a16:creationId xmlns:a16="http://schemas.microsoft.com/office/drawing/2014/main" id="{00000000-0008-0000-04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25</xdr:row>
          <xdr:rowOff>95250</xdr:rowOff>
        </xdr:from>
        <xdr:to>
          <xdr:col>3</xdr:col>
          <xdr:colOff>3009900</xdr:colOff>
          <xdr:row>25</xdr:row>
          <xdr:rowOff>361950</xdr:rowOff>
        </xdr:to>
        <xdr:sp macro="" textlink="">
          <xdr:nvSpPr>
            <xdr:cNvPr id="1135" name="Option Button 111" descr="Click to select Predictors of Severity of Alzheimer's Disease (PSAD)" hidden="1">
              <a:extLst>
                <a:ext uri="{63B3BB69-23CF-44E3-9099-C40C66FF867C}">
                  <a14:compatExt spid="_x0000_s1135"/>
                </a:ext>
                <a:ext uri="{FF2B5EF4-FFF2-40B4-BE49-F238E27FC236}">
                  <a16:creationId xmlns:a16="http://schemas.microsoft.com/office/drawing/2014/main" id="{00000000-0008-0000-0400-00006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26</xdr:row>
          <xdr:rowOff>133350</xdr:rowOff>
        </xdr:from>
        <xdr:to>
          <xdr:col>3</xdr:col>
          <xdr:colOff>1123950</xdr:colOff>
          <xdr:row>26</xdr:row>
          <xdr:rowOff>371475</xdr:rowOff>
        </xdr:to>
        <xdr:sp macro="" textlink="">
          <xdr:nvSpPr>
            <xdr:cNvPr id="1136" name="Option Button 112" descr="Click to select Project Talent (PT)" hidden="1">
              <a:extLst>
                <a:ext uri="{63B3BB69-23CF-44E3-9099-C40C66FF867C}">
                  <a14:compatExt spid="_x0000_s1136"/>
                </a:ext>
                <a:ext uri="{FF2B5EF4-FFF2-40B4-BE49-F238E27FC236}">
                  <a16:creationId xmlns:a16="http://schemas.microsoft.com/office/drawing/2014/main" id="{00000000-0008-0000-04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27</xdr:row>
          <xdr:rowOff>142875</xdr:rowOff>
        </xdr:from>
        <xdr:to>
          <xdr:col>3</xdr:col>
          <xdr:colOff>2381250</xdr:colOff>
          <xdr:row>27</xdr:row>
          <xdr:rowOff>352425</xdr:rowOff>
        </xdr:to>
        <xdr:sp macro="" textlink="">
          <xdr:nvSpPr>
            <xdr:cNvPr id="1138" name="Option Button 114" descr="Click to select Rush Alzheimer's Disease Center (RADC)" hidden="1">
              <a:extLst>
                <a:ext uri="{63B3BB69-23CF-44E3-9099-C40C66FF867C}">
                  <a14:compatExt spid="_x0000_s1138"/>
                </a:ext>
                <a:ext uri="{FF2B5EF4-FFF2-40B4-BE49-F238E27FC236}">
                  <a16:creationId xmlns:a16="http://schemas.microsoft.com/office/drawing/2014/main" id="{00000000-0008-0000-0400-00007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35</xdr:row>
          <xdr:rowOff>447675</xdr:rowOff>
        </xdr:from>
        <xdr:to>
          <xdr:col>3</xdr:col>
          <xdr:colOff>704850</xdr:colOff>
          <xdr:row>35</xdr:row>
          <xdr:rowOff>657225</xdr:rowOff>
        </xdr:to>
        <xdr:sp macro="" textlink="">
          <xdr:nvSpPr>
            <xdr:cNvPr id="1141" name="Option Button 117" descr="Click to select SAS" hidden="1">
              <a:extLst>
                <a:ext uri="{63B3BB69-23CF-44E3-9099-C40C66FF867C}">
                  <a14:compatExt spid="_x0000_s1141"/>
                </a:ext>
                <a:ext uri="{FF2B5EF4-FFF2-40B4-BE49-F238E27FC236}">
                  <a16:creationId xmlns:a16="http://schemas.microsoft.com/office/drawing/2014/main" id="{00000000-0008-0000-0400-00007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xdr:row>
          <xdr:rowOff>0</xdr:rowOff>
        </xdr:from>
        <xdr:to>
          <xdr:col>6</xdr:col>
          <xdr:colOff>0</xdr:colOff>
          <xdr:row>32</xdr:row>
          <xdr:rowOff>0</xdr:rowOff>
        </xdr:to>
        <xdr:sp macro="" textlink="">
          <xdr:nvSpPr>
            <xdr:cNvPr id="1142" name="Group Box 118" descr="Select the NIA-Funded study" hidden="1">
              <a:extLst>
                <a:ext uri="{63B3BB69-23CF-44E3-9099-C40C66FF867C}">
                  <a14:compatExt spid="_x0000_s1142"/>
                </a:ext>
                <a:ext uri="{FF2B5EF4-FFF2-40B4-BE49-F238E27FC236}">
                  <a16:creationId xmlns:a16="http://schemas.microsoft.com/office/drawing/2014/main" id="{00000000-0008-0000-0400-000076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34</xdr:row>
          <xdr:rowOff>238125</xdr:rowOff>
        </xdr:from>
        <xdr:to>
          <xdr:col>3</xdr:col>
          <xdr:colOff>542925</xdr:colOff>
          <xdr:row>34</xdr:row>
          <xdr:rowOff>466725</xdr:rowOff>
        </xdr:to>
        <xdr:sp macro="" textlink="">
          <xdr:nvSpPr>
            <xdr:cNvPr id="1143" name="Check Box 119" descr="Click to select Python" hidden="1">
              <a:extLst>
                <a:ext uri="{63B3BB69-23CF-44E3-9099-C40C66FF867C}">
                  <a14:compatExt spid="_x0000_s1143"/>
                </a:ext>
                <a:ext uri="{FF2B5EF4-FFF2-40B4-BE49-F238E27FC236}">
                  <a16:creationId xmlns:a16="http://schemas.microsoft.com/office/drawing/2014/main" id="{00000000-0008-0000-0400-00007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35</xdr:row>
          <xdr:rowOff>457200</xdr:rowOff>
        </xdr:from>
        <xdr:to>
          <xdr:col>4</xdr:col>
          <xdr:colOff>228600</xdr:colOff>
          <xdr:row>35</xdr:row>
          <xdr:rowOff>647700</xdr:rowOff>
        </xdr:to>
        <xdr:sp macro="" textlink="">
          <xdr:nvSpPr>
            <xdr:cNvPr id="1144" name="Option Button 120" descr="Click to select STATA" hidden="1">
              <a:extLst>
                <a:ext uri="{63B3BB69-23CF-44E3-9099-C40C66FF867C}">
                  <a14:compatExt spid="_x0000_s1144"/>
                </a:ext>
                <a:ext uri="{FF2B5EF4-FFF2-40B4-BE49-F238E27FC236}">
                  <a16:creationId xmlns:a16="http://schemas.microsoft.com/office/drawing/2014/main" id="{00000000-0008-0000-0400-00007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28</xdr:row>
          <xdr:rowOff>142875</xdr:rowOff>
        </xdr:from>
        <xdr:to>
          <xdr:col>3</xdr:col>
          <xdr:colOff>2381250</xdr:colOff>
          <xdr:row>28</xdr:row>
          <xdr:rowOff>352425</xdr:rowOff>
        </xdr:to>
        <xdr:sp macro="" textlink="">
          <xdr:nvSpPr>
            <xdr:cNvPr id="1145" name="Option Button 121" descr="Click to select Understanding America Study (UAS)" hidden="1">
              <a:extLst>
                <a:ext uri="{63B3BB69-23CF-44E3-9099-C40C66FF867C}">
                  <a14:compatExt spid="_x0000_s1145"/>
                </a:ext>
                <a:ext uri="{FF2B5EF4-FFF2-40B4-BE49-F238E27FC236}">
                  <a16:creationId xmlns:a16="http://schemas.microsoft.com/office/drawing/2014/main" id="{00000000-0008-0000-0400-00007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29</xdr:row>
          <xdr:rowOff>152400</xdr:rowOff>
        </xdr:from>
        <xdr:to>
          <xdr:col>3</xdr:col>
          <xdr:colOff>2381250</xdr:colOff>
          <xdr:row>29</xdr:row>
          <xdr:rowOff>361950</xdr:rowOff>
        </xdr:to>
        <xdr:sp macro="" textlink="">
          <xdr:nvSpPr>
            <xdr:cNvPr id="1146" name="Option Button 122" descr="Click to select Wisconsin Longitudinal Study (WLS)" hidden="1">
              <a:extLst>
                <a:ext uri="{63B3BB69-23CF-44E3-9099-C40C66FF867C}">
                  <a14:compatExt spid="_x0000_s1146"/>
                </a:ext>
                <a:ext uri="{FF2B5EF4-FFF2-40B4-BE49-F238E27FC236}">
                  <a16:creationId xmlns:a16="http://schemas.microsoft.com/office/drawing/2014/main" id="{00000000-0008-0000-0400-00007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30</xdr:row>
          <xdr:rowOff>161925</xdr:rowOff>
        </xdr:from>
        <xdr:to>
          <xdr:col>3</xdr:col>
          <xdr:colOff>2381250</xdr:colOff>
          <xdr:row>30</xdr:row>
          <xdr:rowOff>371475</xdr:rowOff>
        </xdr:to>
        <xdr:sp macro="" textlink="">
          <xdr:nvSpPr>
            <xdr:cNvPr id="1147" name="Option Button 123" descr="Click to select Study Not Listed Above (Non-Data Sharing Partner Requesting Linked-CMS Data for Research Purpose)" hidden="1">
              <a:extLst>
                <a:ext uri="{63B3BB69-23CF-44E3-9099-C40C66FF867C}">
                  <a14:compatExt spid="_x0000_s1147"/>
                </a:ext>
                <a:ext uri="{FF2B5EF4-FFF2-40B4-BE49-F238E27FC236}">
                  <a16:creationId xmlns:a16="http://schemas.microsoft.com/office/drawing/2014/main" id="{00000000-0008-0000-0400-00007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34</xdr:row>
          <xdr:rowOff>238125</xdr:rowOff>
        </xdr:from>
        <xdr:to>
          <xdr:col>5</xdr:col>
          <xdr:colOff>533400</xdr:colOff>
          <xdr:row>34</xdr:row>
          <xdr:rowOff>466725</xdr:rowOff>
        </xdr:to>
        <xdr:sp macro="" textlink="">
          <xdr:nvSpPr>
            <xdr:cNvPr id="1148" name="Check Box 124" descr="Click to select R" hidden="1">
              <a:extLst>
                <a:ext uri="{63B3BB69-23CF-44E3-9099-C40C66FF867C}">
                  <a14:compatExt spid="_x0000_s1148"/>
                </a:ext>
                <a:ext uri="{FF2B5EF4-FFF2-40B4-BE49-F238E27FC236}">
                  <a16:creationId xmlns:a16="http://schemas.microsoft.com/office/drawing/2014/main" id="{00000000-0008-0000-0400-00007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8</xdr:col>
      <xdr:colOff>2076223</xdr:colOff>
      <xdr:row>1</xdr:row>
      <xdr:rowOff>18142</xdr:rowOff>
    </xdr:from>
    <xdr:to>
      <xdr:col>8</xdr:col>
      <xdr:colOff>3722143</xdr:colOff>
      <xdr:row>1</xdr:row>
      <xdr:rowOff>383902</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00000000-0008-0000-0500-000002000000}"/>
            </a:ext>
          </a:extLst>
        </xdr:cNvPr>
        <xdr:cNvSpPr/>
      </xdr:nvSpPr>
      <xdr:spPr>
        <a:xfrm>
          <a:off x="16443098" y="375330"/>
          <a:ext cx="1645920" cy="365760"/>
        </a:xfrm>
        <a:prstGeom prst="rect">
          <a:avLst/>
        </a:prstGeom>
        <a:solidFill>
          <a:srgbClr val="CDDEE5"/>
        </a:solidFill>
        <a:ln>
          <a:noFill/>
        </a:ln>
        <a:effectLst>
          <a:outerShdw blurRad="38100" dist="25400" dir="2700000" algn="tl" rotWithShape="0">
            <a:schemeClr val="bg2">
              <a:lumMod val="25000"/>
              <a:alpha val="20000"/>
            </a:schemeClr>
          </a:outerShdw>
        </a:effectLst>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u="none">
              <a:solidFill>
                <a:sysClr val="windowText" lastClr="000000"/>
              </a:solidFill>
              <a:latin typeface="Segoe UI Semibold" panose="020B0702040204020203" pitchFamily="34" charset="0"/>
              <a:cs typeface="Segoe UI Semibold" panose="020B0702040204020203" pitchFamily="34" charset="0"/>
            </a:rPr>
            <a:t>&lt;</a:t>
          </a:r>
          <a:r>
            <a:rPr lang="en-US" sz="1050" u="none" baseline="0">
              <a:solidFill>
                <a:sysClr val="windowText" lastClr="000000"/>
              </a:solidFill>
              <a:latin typeface="Segoe UI Semibold" panose="020B0702040204020203" pitchFamily="34" charset="0"/>
              <a:cs typeface="Segoe UI Semibold" panose="020B0702040204020203" pitchFamily="34" charset="0"/>
            </a:rPr>
            <a:t> Research Project Info</a:t>
          </a:r>
          <a:endParaRPr lang="en-US" sz="1050" u="none">
            <a:solidFill>
              <a:sysClr val="windowText" lastClr="000000"/>
            </a:solidFill>
            <a:latin typeface="Segoe UI Semibold" panose="020B0702040204020203" pitchFamily="34" charset="0"/>
            <a:cs typeface="Segoe UI Semibold" panose="020B0702040204020203" pitchFamily="34" charset="0"/>
          </a:endParaRPr>
        </a:p>
      </xdr:txBody>
    </xdr:sp>
    <xdr:clientData/>
  </xdr:twoCellAnchor>
  <xdr:twoCellAnchor>
    <xdr:from>
      <xdr:col>8</xdr:col>
      <xdr:colOff>2916882</xdr:colOff>
      <xdr:row>111</xdr:row>
      <xdr:rowOff>1510</xdr:rowOff>
    </xdr:from>
    <xdr:to>
      <xdr:col>8</xdr:col>
      <xdr:colOff>4151322</xdr:colOff>
      <xdr:row>111</xdr:row>
      <xdr:rowOff>368631</xdr:rowOff>
    </xdr:to>
    <xdr:sp macro="" textlink="">
      <xdr:nvSpPr>
        <xdr:cNvPr id="4" name="Rectangle 3">
          <a:hlinkClick xmlns:r="http://schemas.openxmlformats.org/officeDocument/2006/relationships" r:id="rId1"/>
          <a:extLst>
            <a:ext uri="{FF2B5EF4-FFF2-40B4-BE49-F238E27FC236}">
              <a16:creationId xmlns:a16="http://schemas.microsoft.com/office/drawing/2014/main" id="{00000000-0008-0000-0500-000004000000}"/>
            </a:ext>
          </a:extLst>
        </xdr:cNvPr>
        <xdr:cNvSpPr/>
      </xdr:nvSpPr>
      <xdr:spPr>
        <a:xfrm>
          <a:off x="17298537" y="77975131"/>
          <a:ext cx="1234440" cy="367121"/>
        </a:xfrm>
        <a:prstGeom prst="rect">
          <a:avLst/>
        </a:prstGeom>
        <a:solidFill>
          <a:srgbClr val="CDDEE5"/>
        </a:solidFill>
        <a:ln>
          <a:noFill/>
        </a:ln>
        <a:effectLst>
          <a:outerShdw blurRad="38100" dist="25400" dir="2700000" algn="tl" rotWithShape="0">
            <a:schemeClr val="bg2">
              <a:lumMod val="25000"/>
              <a:alpha val="20000"/>
            </a:schemeClr>
          </a:outerShdw>
        </a:effectLst>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u="none">
              <a:solidFill>
                <a:sysClr val="windowText" lastClr="000000"/>
              </a:solidFill>
              <a:latin typeface="Franklin Gothic Medium" panose="020B0603020102020204" pitchFamily="34" charset="0"/>
            </a:rPr>
            <a:t>&lt;</a:t>
          </a:r>
          <a:r>
            <a:rPr lang="en-US" sz="1050" u="none" baseline="0">
              <a:solidFill>
                <a:sysClr val="windowText" lastClr="000000"/>
              </a:solidFill>
              <a:latin typeface="Franklin Gothic Medium" panose="020B0603020102020204" pitchFamily="34" charset="0"/>
            </a:rPr>
            <a:t> </a:t>
          </a:r>
          <a:endParaRPr lang="en-US" sz="1050" u="none">
            <a:solidFill>
              <a:sysClr val="windowText" lastClr="000000"/>
            </a:solidFill>
            <a:latin typeface="Franklin Gothic Medium" panose="020B0603020102020204" pitchFamily="34" charset="0"/>
          </a:endParaRPr>
        </a:p>
      </xdr:txBody>
    </xdr:sp>
    <xdr:clientData/>
  </xdr:twoCellAnchor>
  <xdr:twoCellAnchor>
    <xdr:from>
      <xdr:col>8</xdr:col>
      <xdr:colOff>4190358</xdr:colOff>
      <xdr:row>111</xdr:row>
      <xdr:rowOff>2473</xdr:rowOff>
    </xdr:from>
    <xdr:to>
      <xdr:col>8</xdr:col>
      <xdr:colOff>5424798</xdr:colOff>
      <xdr:row>111</xdr:row>
      <xdr:rowOff>368631</xdr:rowOff>
    </xdr:to>
    <xdr:sp macro="" textlink="">
      <xdr:nvSpPr>
        <xdr:cNvPr id="5" name="Rectangle 4">
          <a:hlinkClick xmlns:r="http://schemas.openxmlformats.org/officeDocument/2006/relationships" r:id="rId2"/>
          <a:extLst>
            <a:ext uri="{FF2B5EF4-FFF2-40B4-BE49-F238E27FC236}">
              <a16:creationId xmlns:a16="http://schemas.microsoft.com/office/drawing/2014/main" id="{00000000-0008-0000-0500-000005000000}"/>
            </a:ext>
          </a:extLst>
        </xdr:cNvPr>
        <xdr:cNvSpPr/>
      </xdr:nvSpPr>
      <xdr:spPr>
        <a:xfrm>
          <a:off x="18552903" y="78142109"/>
          <a:ext cx="1234440" cy="366158"/>
        </a:xfrm>
        <a:prstGeom prst="rect">
          <a:avLst/>
        </a:prstGeom>
        <a:solidFill>
          <a:srgbClr val="CDDEE5"/>
        </a:solidFill>
        <a:ln>
          <a:noFill/>
        </a:ln>
        <a:effectLst>
          <a:outerShdw blurRad="38100" dist="25400" dir="2700000" algn="tl" rotWithShape="0">
            <a:schemeClr val="bg2">
              <a:lumMod val="25000"/>
              <a:alpha val="20000"/>
            </a:schemeClr>
          </a:outerShdw>
        </a:effectLst>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u="none" baseline="0">
              <a:solidFill>
                <a:sysClr val="windowText" lastClr="000000"/>
              </a:solidFill>
              <a:latin typeface="Franklin Gothic Medium" panose="020B0603020102020204" pitchFamily="34" charset="0"/>
            </a:rPr>
            <a:t>&gt;</a:t>
          </a:r>
          <a:endParaRPr lang="en-US" sz="1050" u="none">
            <a:solidFill>
              <a:sysClr val="windowText" lastClr="000000"/>
            </a:solidFill>
            <a:latin typeface="Franklin Gothic Medium" panose="020B0603020102020204" pitchFamily="34" charset="0"/>
          </a:endParaRPr>
        </a:p>
      </xdr:txBody>
    </xdr:sp>
    <xdr:clientData/>
  </xdr:twoCellAnchor>
  <xdr:twoCellAnchor>
    <xdr:from>
      <xdr:col>8</xdr:col>
      <xdr:colOff>3772324</xdr:colOff>
      <xdr:row>1</xdr:row>
      <xdr:rowOff>18842</xdr:rowOff>
    </xdr:from>
    <xdr:to>
      <xdr:col>8</xdr:col>
      <xdr:colOff>5415454</xdr:colOff>
      <xdr:row>1</xdr:row>
      <xdr:rowOff>381427</xdr:rowOff>
    </xdr:to>
    <xdr:sp macro="" textlink="">
      <xdr:nvSpPr>
        <xdr:cNvPr id="6" name="Rectangle 5">
          <a:hlinkClick xmlns:r="http://schemas.openxmlformats.org/officeDocument/2006/relationships" r:id="rId2"/>
          <a:extLst>
            <a:ext uri="{FF2B5EF4-FFF2-40B4-BE49-F238E27FC236}">
              <a16:creationId xmlns:a16="http://schemas.microsoft.com/office/drawing/2014/main" id="{00000000-0008-0000-0500-000006000000}"/>
            </a:ext>
          </a:extLst>
        </xdr:cNvPr>
        <xdr:cNvSpPr/>
      </xdr:nvSpPr>
      <xdr:spPr>
        <a:xfrm>
          <a:off x="18142862" y="375419"/>
          <a:ext cx="1643130" cy="362585"/>
        </a:xfrm>
        <a:prstGeom prst="rect">
          <a:avLst/>
        </a:prstGeom>
        <a:solidFill>
          <a:srgbClr val="CDDEE5"/>
        </a:solidFill>
        <a:ln>
          <a:noFill/>
        </a:ln>
        <a:effectLst>
          <a:outerShdw blurRad="38100" dist="25400" dir="2700000" algn="tl" rotWithShape="0">
            <a:schemeClr val="bg2">
              <a:lumMod val="25000"/>
              <a:alpha val="20000"/>
            </a:schemeClr>
          </a:outerShdw>
        </a:effectLst>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u="none" baseline="0">
              <a:solidFill>
                <a:sysClr val="windowText" lastClr="000000"/>
              </a:solidFill>
              <a:latin typeface="Segoe UI Semibold" panose="020B0702040204020203" pitchFamily="34" charset="0"/>
              <a:cs typeface="Segoe UI Semibold" panose="020B0702040204020203" pitchFamily="34" charset="0"/>
            </a:rPr>
            <a:t>PDE Request &gt;</a:t>
          </a:r>
          <a:endParaRPr lang="en-US" sz="1050" u="none">
            <a:solidFill>
              <a:sysClr val="windowText" lastClr="000000"/>
            </a:solidFill>
            <a:latin typeface="Segoe UI Semibold" panose="020B0702040204020203" pitchFamily="34" charset="0"/>
            <a:cs typeface="Segoe UI Semibold" panose="020B0702040204020203" pitchFamily="34"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8</xdr:col>
      <xdr:colOff>2156107</xdr:colOff>
      <xdr:row>0</xdr:row>
      <xdr:rowOff>823</xdr:rowOff>
    </xdr:from>
    <xdr:to>
      <xdr:col>8</xdr:col>
      <xdr:colOff>3802027</xdr:colOff>
      <xdr:row>1</xdr:row>
      <xdr:rowOff>10145</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00000000-0008-0000-0600-000002000000}"/>
            </a:ext>
          </a:extLst>
        </xdr:cNvPr>
        <xdr:cNvSpPr/>
      </xdr:nvSpPr>
      <xdr:spPr>
        <a:xfrm>
          <a:off x="18310507" y="823"/>
          <a:ext cx="1645920" cy="368551"/>
        </a:xfrm>
        <a:prstGeom prst="rect">
          <a:avLst/>
        </a:prstGeom>
        <a:solidFill>
          <a:srgbClr val="CDDEE5"/>
        </a:solidFill>
        <a:ln>
          <a:noFill/>
        </a:ln>
        <a:effectLst>
          <a:outerShdw blurRad="38100" dist="25400" dir="2700000" algn="tl" rotWithShape="0">
            <a:schemeClr val="bg2">
              <a:lumMod val="25000"/>
              <a:alpha val="20000"/>
            </a:schemeClr>
          </a:outerShdw>
        </a:effectLst>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u="none">
              <a:solidFill>
                <a:sysClr val="windowText" lastClr="000000"/>
              </a:solidFill>
              <a:latin typeface="Segoe UI Semibold" panose="020B0702040204020203" pitchFamily="34" charset="0"/>
              <a:cs typeface="Segoe UI Semibold" panose="020B0702040204020203" pitchFamily="34" charset="0"/>
            </a:rPr>
            <a:t>&lt;</a:t>
          </a:r>
          <a:r>
            <a:rPr lang="en-US" sz="1050" u="none" baseline="0">
              <a:solidFill>
                <a:sysClr val="windowText" lastClr="000000"/>
              </a:solidFill>
              <a:latin typeface="Segoe UI Semibold" panose="020B0702040204020203" pitchFamily="34" charset="0"/>
              <a:cs typeface="Segoe UI Semibold" panose="020B0702040204020203" pitchFamily="34" charset="0"/>
            </a:rPr>
            <a:t> </a:t>
          </a:r>
          <a:r>
            <a:rPr lang="en-US" sz="1050" u="none">
              <a:solidFill>
                <a:sysClr val="windowText" lastClr="000000"/>
              </a:solidFill>
              <a:latin typeface="Segoe UI Semibold" panose="020B0702040204020203" pitchFamily="34" charset="0"/>
              <a:cs typeface="Segoe UI Semibold" panose="020B0702040204020203" pitchFamily="34" charset="0"/>
            </a:rPr>
            <a:t>File Level Request</a:t>
          </a:r>
        </a:p>
      </xdr:txBody>
    </xdr:sp>
    <xdr:clientData/>
  </xdr:twoCellAnchor>
  <xdr:twoCellAnchor>
    <xdr:from>
      <xdr:col>8</xdr:col>
      <xdr:colOff>3856761</xdr:colOff>
      <xdr:row>0</xdr:row>
      <xdr:rowOff>0</xdr:rowOff>
    </xdr:from>
    <xdr:to>
      <xdr:col>8</xdr:col>
      <xdr:colOff>5449341</xdr:colOff>
      <xdr:row>1</xdr:row>
      <xdr:rowOff>9322</xdr:rowOff>
    </xdr:to>
    <xdr:sp macro="" textlink="">
      <xdr:nvSpPr>
        <xdr:cNvPr id="3" name="Rectangle 2">
          <a:hlinkClick xmlns:r="http://schemas.openxmlformats.org/officeDocument/2006/relationships" r:id="rId2"/>
          <a:extLst>
            <a:ext uri="{FF2B5EF4-FFF2-40B4-BE49-F238E27FC236}">
              <a16:creationId xmlns:a16="http://schemas.microsoft.com/office/drawing/2014/main" id="{00000000-0008-0000-0600-000003000000}"/>
            </a:ext>
          </a:extLst>
        </xdr:cNvPr>
        <xdr:cNvSpPr/>
      </xdr:nvSpPr>
      <xdr:spPr>
        <a:xfrm>
          <a:off x="20011161" y="0"/>
          <a:ext cx="1592580" cy="368551"/>
        </a:xfrm>
        <a:prstGeom prst="rect">
          <a:avLst/>
        </a:prstGeom>
        <a:solidFill>
          <a:srgbClr val="CDDEE5"/>
        </a:solidFill>
        <a:ln>
          <a:noFill/>
        </a:ln>
        <a:effectLst>
          <a:outerShdw blurRad="38100" dist="25400" dir="2700000" algn="tl" rotWithShape="0">
            <a:schemeClr val="bg2">
              <a:lumMod val="25000"/>
              <a:alpha val="20000"/>
            </a:schemeClr>
          </a:outerShdw>
        </a:effectLst>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u="none" baseline="0">
              <a:solidFill>
                <a:sysClr val="windowText" lastClr="000000"/>
              </a:solidFill>
              <a:latin typeface="Segoe UI Semibold" panose="020B0702040204020203" pitchFamily="34" charset="0"/>
              <a:cs typeface="Segoe UI Semibold" panose="020B0702040204020203" pitchFamily="34" charset="0"/>
            </a:rPr>
            <a:t>Summary &gt;</a:t>
          </a:r>
          <a:endParaRPr lang="en-US" sz="1050" u="none">
            <a:solidFill>
              <a:sysClr val="windowText" lastClr="000000"/>
            </a:solidFill>
            <a:latin typeface="Segoe UI Semibold" panose="020B0702040204020203" pitchFamily="34" charset="0"/>
            <a:cs typeface="Segoe UI Semibold" panose="020B0702040204020203" pitchFamily="34" charset="0"/>
          </a:endParaRPr>
        </a:p>
      </xdr:txBody>
    </xdr:sp>
    <xdr:clientData/>
  </xdr:twoCellAnchor>
  <xdr:twoCellAnchor>
    <xdr:from>
      <xdr:col>8</xdr:col>
      <xdr:colOff>3100455</xdr:colOff>
      <xdr:row>77</xdr:row>
      <xdr:rowOff>70066</xdr:rowOff>
    </xdr:from>
    <xdr:to>
      <xdr:col>8</xdr:col>
      <xdr:colOff>4332942</xdr:colOff>
      <xdr:row>78</xdr:row>
      <xdr:rowOff>1759</xdr:rowOff>
    </xdr:to>
    <xdr:sp macro="" textlink="">
      <xdr:nvSpPr>
        <xdr:cNvPr id="4" name="Rectangle 3">
          <a:hlinkClick xmlns:r="http://schemas.openxmlformats.org/officeDocument/2006/relationships" r:id="rId1"/>
          <a:extLst>
            <a:ext uri="{FF2B5EF4-FFF2-40B4-BE49-F238E27FC236}">
              <a16:creationId xmlns:a16="http://schemas.microsoft.com/office/drawing/2014/main" id="{00000000-0008-0000-0600-000004000000}"/>
            </a:ext>
          </a:extLst>
        </xdr:cNvPr>
        <xdr:cNvSpPr/>
      </xdr:nvSpPr>
      <xdr:spPr>
        <a:xfrm>
          <a:off x="19254855" y="81887095"/>
          <a:ext cx="1232487" cy="367121"/>
        </a:xfrm>
        <a:prstGeom prst="rect">
          <a:avLst/>
        </a:prstGeom>
        <a:solidFill>
          <a:srgbClr val="CDDEE5"/>
        </a:solidFill>
        <a:ln>
          <a:noFill/>
        </a:ln>
        <a:effectLst>
          <a:outerShdw blurRad="38100" dist="25400" dir="2700000" algn="tl" rotWithShape="0">
            <a:schemeClr val="bg2">
              <a:lumMod val="25000"/>
              <a:alpha val="20000"/>
            </a:schemeClr>
          </a:outerShdw>
        </a:effectLst>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u="none">
              <a:solidFill>
                <a:sysClr val="windowText" lastClr="000000"/>
              </a:solidFill>
              <a:latin typeface="Franklin Gothic Medium" panose="020B0603020102020204" pitchFamily="34" charset="0"/>
            </a:rPr>
            <a:t>&lt;</a:t>
          </a:r>
          <a:r>
            <a:rPr lang="en-US" sz="1050" u="none" baseline="0">
              <a:solidFill>
                <a:sysClr val="windowText" lastClr="000000"/>
              </a:solidFill>
              <a:latin typeface="Franklin Gothic Medium" panose="020B0603020102020204" pitchFamily="34" charset="0"/>
            </a:rPr>
            <a:t> </a:t>
          </a:r>
          <a:endParaRPr lang="en-US" sz="1050" u="none">
            <a:solidFill>
              <a:sysClr val="windowText" lastClr="000000"/>
            </a:solidFill>
            <a:latin typeface="Franklin Gothic Medium" panose="020B0603020102020204" pitchFamily="34" charset="0"/>
          </a:endParaRPr>
        </a:p>
      </xdr:txBody>
    </xdr:sp>
    <xdr:clientData/>
  </xdr:twoCellAnchor>
  <xdr:twoCellAnchor>
    <xdr:from>
      <xdr:col>8</xdr:col>
      <xdr:colOff>4373221</xdr:colOff>
      <xdr:row>77</xdr:row>
      <xdr:rowOff>71029</xdr:rowOff>
    </xdr:from>
    <xdr:to>
      <xdr:col>8</xdr:col>
      <xdr:colOff>5476538</xdr:colOff>
      <xdr:row>78</xdr:row>
      <xdr:rowOff>1759</xdr:rowOff>
    </xdr:to>
    <xdr:sp macro="" textlink="">
      <xdr:nvSpPr>
        <xdr:cNvPr id="5" name="Rectangle 4">
          <a:hlinkClick xmlns:r="http://schemas.openxmlformats.org/officeDocument/2006/relationships" r:id="rId2"/>
          <a:extLst>
            <a:ext uri="{FF2B5EF4-FFF2-40B4-BE49-F238E27FC236}">
              <a16:creationId xmlns:a16="http://schemas.microsoft.com/office/drawing/2014/main" id="{00000000-0008-0000-0600-000005000000}"/>
            </a:ext>
          </a:extLst>
        </xdr:cNvPr>
        <xdr:cNvSpPr/>
      </xdr:nvSpPr>
      <xdr:spPr>
        <a:xfrm>
          <a:off x="20527621" y="81888058"/>
          <a:ext cx="1103317" cy="366158"/>
        </a:xfrm>
        <a:prstGeom prst="rect">
          <a:avLst/>
        </a:prstGeom>
        <a:solidFill>
          <a:srgbClr val="CDDEE5"/>
        </a:solidFill>
        <a:ln>
          <a:noFill/>
        </a:ln>
        <a:effectLst>
          <a:outerShdw blurRad="38100" dist="25400" dir="2700000" algn="tl" rotWithShape="0">
            <a:schemeClr val="bg2">
              <a:lumMod val="25000"/>
              <a:alpha val="20000"/>
            </a:schemeClr>
          </a:outerShdw>
        </a:effectLst>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u="none" baseline="0">
              <a:solidFill>
                <a:sysClr val="windowText" lastClr="000000"/>
              </a:solidFill>
              <a:latin typeface="Franklin Gothic Medium" panose="020B0603020102020204" pitchFamily="34" charset="0"/>
            </a:rPr>
            <a:t>&gt;</a:t>
          </a:r>
          <a:endParaRPr lang="en-US" sz="1050" u="none">
            <a:solidFill>
              <a:sysClr val="windowText" lastClr="000000"/>
            </a:solidFill>
            <a:latin typeface="Franklin Gothic Medium" panose="020B0603020102020204" pitchFamily="34"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549635</xdr:colOff>
      <xdr:row>0</xdr:row>
      <xdr:rowOff>223158</xdr:rowOff>
    </xdr:from>
    <xdr:to>
      <xdr:col>3</xdr:col>
      <xdr:colOff>893805</xdr:colOff>
      <xdr:row>1</xdr:row>
      <xdr:rowOff>232385</xdr:rowOff>
    </xdr:to>
    <xdr:sp macro="" textlink="">
      <xdr:nvSpPr>
        <xdr:cNvPr id="3" name="Rectangle 2">
          <a:hlinkClick xmlns:r="http://schemas.openxmlformats.org/officeDocument/2006/relationships" r:id="rId1"/>
          <a:extLst>
            <a:ext uri="{FF2B5EF4-FFF2-40B4-BE49-F238E27FC236}">
              <a16:creationId xmlns:a16="http://schemas.microsoft.com/office/drawing/2014/main" id="{00000000-0008-0000-0700-000003000000}"/>
            </a:ext>
          </a:extLst>
        </xdr:cNvPr>
        <xdr:cNvSpPr/>
      </xdr:nvSpPr>
      <xdr:spPr>
        <a:xfrm>
          <a:off x="8760185" y="223158"/>
          <a:ext cx="1645920" cy="364827"/>
        </a:xfrm>
        <a:prstGeom prst="rect">
          <a:avLst/>
        </a:prstGeom>
        <a:solidFill>
          <a:srgbClr val="CDDEE5"/>
        </a:solidFill>
        <a:ln>
          <a:noFill/>
        </a:ln>
        <a:effectLst>
          <a:outerShdw blurRad="38100" dist="25400" dir="2700000" algn="tl" rotWithShape="0">
            <a:schemeClr val="bg2">
              <a:lumMod val="25000"/>
              <a:alpha val="20000"/>
            </a:schemeClr>
          </a:outerShdw>
        </a:effectLst>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u="none">
              <a:solidFill>
                <a:sysClr val="windowText" lastClr="000000"/>
              </a:solidFill>
              <a:latin typeface="Segoe UI Semibold" panose="020B0702040204020203" pitchFamily="34" charset="0"/>
              <a:cs typeface="Segoe UI Semibold" panose="020B0702040204020203" pitchFamily="34" charset="0"/>
            </a:rPr>
            <a:t>&lt;</a:t>
          </a:r>
          <a:r>
            <a:rPr lang="en-US" sz="1050" u="none" baseline="0">
              <a:solidFill>
                <a:sysClr val="windowText" lastClr="000000"/>
              </a:solidFill>
              <a:latin typeface="Segoe UI Semibold" panose="020B0702040204020203" pitchFamily="34" charset="0"/>
              <a:cs typeface="Segoe UI Semibold" panose="020B0702040204020203" pitchFamily="34" charset="0"/>
            </a:rPr>
            <a:t> </a:t>
          </a:r>
          <a:r>
            <a:rPr lang="en-US" sz="1050" u="none">
              <a:solidFill>
                <a:sysClr val="windowText" lastClr="000000"/>
              </a:solidFill>
              <a:latin typeface="Segoe UI Semibold" panose="020B0702040204020203" pitchFamily="34" charset="0"/>
              <a:cs typeface="Segoe UI Semibold" panose="020B0702040204020203" pitchFamily="34" charset="0"/>
            </a:rPr>
            <a:t>PDE Request</a:t>
          </a:r>
        </a:p>
      </xdr:txBody>
    </xdr:sp>
    <xdr:clientData/>
  </xdr:twoCellAnchor>
  <xdr:twoCellAnchor>
    <xdr:from>
      <xdr:col>3</xdr:col>
      <xdr:colOff>951007</xdr:colOff>
      <xdr:row>0</xdr:row>
      <xdr:rowOff>223160</xdr:rowOff>
    </xdr:from>
    <xdr:to>
      <xdr:col>4</xdr:col>
      <xdr:colOff>1295177</xdr:colOff>
      <xdr:row>1</xdr:row>
      <xdr:rowOff>232387</xdr:rowOff>
    </xdr:to>
    <xdr:sp macro="" textlink="">
      <xdr:nvSpPr>
        <xdr:cNvPr id="4" name="Rectangle 3">
          <a:hlinkClick xmlns:r="http://schemas.openxmlformats.org/officeDocument/2006/relationships" r:id="rId2"/>
          <a:extLst>
            <a:ext uri="{FF2B5EF4-FFF2-40B4-BE49-F238E27FC236}">
              <a16:creationId xmlns:a16="http://schemas.microsoft.com/office/drawing/2014/main" id="{00000000-0008-0000-0700-000004000000}"/>
            </a:ext>
          </a:extLst>
        </xdr:cNvPr>
        <xdr:cNvSpPr/>
      </xdr:nvSpPr>
      <xdr:spPr>
        <a:xfrm>
          <a:off x="10463307" y="223160"/>
          <a:ext cx="1645920" cy="364827"/>
        </a:xfrm>
        <a:prstGeom prst="rect">
          <a:avLst/>
        </a:prstGeom>
        <a:solidFill>
          <a:srgbClr val="CDDEE5"/>
        </a:solidFill>
        <a:ln>
          <a:noFill/>
        </a:ln>
        <a:effectLst>
          <a:outerShdw blurRad="38100" dist="25400" dir="2700000" algn="tl" rotWithShape="0">
            <a:schemeClr val="bg2">
              <a:lumMod val="25000"/>
              <a:alpha val="20000"/>
            </a:schemeClr>
          </a:outerShdw>
        </a:effectLst>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u="none" baseline="0">
              <a:solidFill>
                <a:sysClr val="windowText" lastClr="000000"/>
              </a:solidFill>
              <a:latin typeface="Segoe UI Semibold" panose="020B0702040204020203" pitchFamily="34" charset="0"/>
              <a:cs typeface="Segoe UI Semibold" panose="020B0702040204020203" pitchFamily="34" charset="0"/>
            </a:rPr>
            <a:t>App A File Desc &gt;</a:t>
          </a:r>
          <a:endParaRPr lang="en-US" sz="1050" u="none">
            <a:solidFill>
              <a:sysClr val="windowText" lastClr="000000"/>
            </a:solidFill>
            <a:latin typeface="Segoe UI Semibold" panose="020B0702040204020203" pitchFamily="34" charset="0"/>
            <a:cs typeface="Segoe UI Semibold" panose="020B0702040204020203" pitchFamily="34" charset="0"/>
          </a:endParaRPr>
        </a:p>
      </xdr:txBody>
    </xdr:sp>
    <xdr:clientData/>
  </xdr:twoCellAnchor>
  <xdr:twoCellAnchor>
    <xdr:from>
      <xdr:col>3</xdr:col>
      <xdr:colOff>99573</xdr:colOff>
      <xdr:row>55</xdr:row>
      <xdr:rowOff>91143</xdr:rowOff>
    </xdr:from>
    <xdr:to>
      <xdr:col>4</xdr:col>
      <xdr:colOff>32263</xdr:colOff>
      <xdr:row>57</xdr:row>
      <xdr:rowOff>13764</xdr:rowOff>
    </xdr:to>
    <xdr:sp macro="" textlink="">
      <xdr:nvSpPr>
        <xdr:cNvPr id="5" name="Rectangle 4">
          <a:hlinkClick xmlns:r="http://schemas.openxmlformats.org/officeDocument/2006/relationships" r:id="rId1"/>
          <a:extLst>
            <a:ext uri="{FF2B5EF4-FFF2-40B4-BE49-F238E27FC236}">
              <a16:creationId xmlns:a16="http://schemas.microsoft.com/office/drawing/2014/main" id="{00000000-0008-0000-0700-000005000000}"/>
            </a:ext>
          </a:extLst>
        </xdr:cNvPr>
        <xdr:cNvSpPr/>
      </xdr:nvSpPr>
      <xdr:spPr>
        <a:xfrm>
          <a:off x="9611873" y="25910243"/>
          <a:ext cx="1234440" cy="367121"/>
        </a:xfrm>
        <a:prstGeom prst="rect">
          <a:avLst/>
        </a:prstGeom>
        <a:solidFill>
          <a:srgbClr val="CDDEE5"/>
        </a:solidFill>
        <a:ln>
          <a:noFill/>
        </a:ln>
        <a:effectLst>
          <a:outerShdw blurRad="38100" dist="25400" dir="2700000" algn="tl" rotWithShape="0">
            <a:schemeClr val="bg2">
              <a:lumMod val="25000"/>
              <a:alpha val="20000"/>
            </a:schemeClr>
          </a:outerShdw>
        </a:effectLst>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u="none">
              <a:solidFill>
                <a:sysClr val="windowText" lastClr="000000"/>
              </a:solidFill>
              <a:latin typeface="Franklin Gothic Medium" panose="020B0603020102020204" pitchFamily="34" charset="0"/>
            </a:rPr>
            <a:t>&lt;</a:t>
          </a:r>
          <a:r>
            <a:rPr lang="en-US" sz="1050" u="none" baseline="0">
              <a:solidFill>
                <a:sysClr val="windowText" lastClr="000000"/>
              </a:solidFill>
              <a:latin typeface="Franklin Gothic Medium" panose="020B0603020102020204" pitchFamily="34" charset="0"/>
            </a:rPr>
            <a:t> </a:t>
          </a:r>
          <a:endParaRPr lang="en-US" sz="1050" u="none">
            <a:solidFill>
              <a:sysClr val="windowText" lastClr="000000"/>
            </a:solidFill>
            <a:latin typeface="Franklin Gothic Medium" panose="020B0603020102020204" pitchFamily="34" charset="0"/>
          </a:endParaRPr>
        </a:p>
      </xdr:txBody>
    </xdr:sp>
    <xdr:clientData/>
  </xdr:twoCellAnchor>
  <xdr:twoCellAnchor>
    <xdr:from>
      <xdr:col>4</xdr:col>
      <xdr:colOff>83263</xdr:colOff>
      <xdr:row>55</xdr:row>
      <xdr:rowOff>92106</xdr:rowOff>
    </xdr:from>
    <xdr:to>
      <xdr:col>5</xdr:col>
      <xdr:colOff>15953</xdr:colOff>
      <xdr:row>57</xdr:row>
      <xdr:rowOff>13764</xdr:rowOff>
    </xdr:to>
    <xdr:sp macro="" textlink="">
      <xdr:nvSpPr>
        <xdr:cNvPr id="6" name="Rectangle 5">
          <a:hlinkClick xmlns:r="http://schemas.openxmlformats.org/officeDocument/2006/relationships" r:id="rId2"/>
          <a:extLst>
            <a:ext uri="{FF2B5EF4-FFF2-40B4-BE49-F238E27FC236}">
              <a16:creationId xmlns:a16="http://schemas.microsoft.com/office/drawing/2014/main" id="{00000000-0008-0000-0700-000006000000}"/>
            </a:ext>
          </a:extLst>
        </xdr:cNvPr>
        <xdr:cNvSpPr/>
      </xdr:nvSpPr>
      <xdr:spPr>
        <a:xfrm>
          <a:off x="10897313" y="25911206"/>
          <a:ext cx="1234440" cy="366158"/>
        </a:xfrm>
        <a:prstGeom prst="rect">
          <a:avLst/>
        </a:prstGeom>
        <a:solidFill>
          <a:srgbClr val="CDDEE5"/>
        </a:solidFill>
        <a:ln>
          <a:noFill/>
        </a:ln>
        <a:effectLst>
          <a:outerShdw blurRad="38100" dist="25400" dir="2700000" algn="tl" rotWithShape="0">
            <a:schemeClr val="bg2">
              <a:lumMod val="25000"/>
              <a:alpha val="20000"/>
            </a:schemeClr>
          </a:outerShdw>
        </a:effectLst>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u="none" baseline="0">
              <a:solidFill>
                <a:sysClr val="windowText" lastClr="000000"/>
              </a:solidFill>
              <a:latin typeface="Franklin Gothic Medium" panose="020B0603020102020204" pitchFamily="34" charset="0"/>
            </a:rPr>
            <a:t>&gt;</a:t>
          </a:r>
          <a:endParaRPr lang="en-US" sz="1050" u="none">
            <a:solidFill>
              <a:sysClr val="windowText" lastClr="000000"/>
            </a:solidFill>
            <a:latin typeface="Franklin Gothic Medium" panose="020B0603020102020204" pitchFamily="34"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7392150</xdr:colOff>
      <xdr:row>1</xdr:row>
      <xdr:rowOff>5898</xdr:rowOff>
    </xdr:from>
    <xdr:to>
      <xdr:col>2</xdr:col>
      <xdr:colOff>9038070</xdr:colOff>
      <xdr:row>2</xdr:row>
      <xdr:rowOff>3358</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00000000-0008-0000-0800-000002000000}"/>
            </a:ext>
          </a:extLst>
        </xdr:cNvPr>
        <xdr:cNvSpPr/>
      </xdr:nvSpPr>
      <xdr:spPr>
        <a:xfrm>
          <a:off x="10154400" y="358323"/>
          <a:ext cx="1645920" cy="387985"/>
        </a:xfrm>
        <a:prstGeom prst="rect">
          <a:avLst/>
        </a:prstGeom>
        <a:solidFill>
          <a:srgbClr val="CDDEE5"/>
        </a:solidFill>
        <a:ln>
          <a:noFill/>
        </a:ln>
        <a:effectLst>
          <a:outerShdw blurRad="38100" dist="25400" dir="2700000" algn="tl" rotWithShape="0">
            <a:schemeClr val="bg2">
              <a:lumMod val="25000"/>
              <a:alpha val="20000"/>
            </a:schemeClr>
          </a:outerShdw>
        </a:effectLst>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u="none">
              <a:solidFill>
                <a:sysClr val="windowText" lastClr="000000"/>
              </a:solidFill>
              <a:latin typeface="Segoe UI Semibold" panose="020B0702040204020203" pitchFamily="34" charset="0"/>
              <a:cs typeface="Segoe UI Semibold" panose="020B0702040204020203" pitchFamily="34" charset="0"/>
            </a:rPr>
            <a:t>&lt;</a:t>
          </a:r>
          <a:r>
            <a:rPr lang="en-US" sz="1050" u="none" baseline="0">
              <a:solidFill>
                <a:sysClr val="windowText" lastClr="000000"/>
              </a:solidFill>
              <a:latin typeface="Segoe UI Semibold" panose="020B0702040204020203" pitchFamily="34" charset="0"/>
              <a:cs typeface="Segoe UI Semibold" panose="020B0702040204020203" pitchFamily="34" charset="0"/>
            </a:rPr>
            <a:t> </a:t>
          </a:r>
          <a:r>
            <a:rPr lang="en-US" sz="1050" u="none">
              <a:solidFill>
                <a:sysClr val="windowText" lastClr="000000"/>
              </a:solidFill>
              <a:latin typeface="Segoe UI Semibold" panose="020B0702040204020203" pitchFamily="34" charset="0"/>
              <a:cs typeface="Segoe UI Semibold" panose="020B0702040204020203" pitchFamily="34" charset="0"/>
            </a:rPr>
            <a:t>Summary</a:t>
          </a:r>
        </a:p>
      </xdr:txBody>
    </xdr:sp>
    <xdr:clientData/>
  </xdr:twoCellAnchor>
  <xdr:twoCellAnchor>
    <xdr:from>
      <xdr:col>2</xdr:col>
      <xdr:colOff>8017219</xdr:colOff>
      <xdr:row>17</xdr:row>
      <xdr:rowOff>110405</xdr:rowOff>
    </xdr:from>
    <xdr:to>
      <xdr:col>2</xdr:col>
      <xdr:colOff>9249706</xdr:colOff>
      <xdr:row>17</xdr:row>
      <xdr:rowOff>477526</xdr:rowOff>
    </xdr:to>
    <xdr:sp macro="" textlink="">
      <xdr:nvSpPr>
        <xdr:cNvPr id="3" name="Rectangle 2">
          <a:hlinkClick xmlns:r="http://schemas.openxmlformats.org/officeDocument/2006/relationships" r:id="rId1"/>
          <a:extLst>
            <a:ext uri="{FF2B5EF4-FFF2-40B4-BE49-F238E27FC236}">
              <a16:creationId xmlns:a16="http://schemas.microsoft.com/office/drawing/2014/main" id="{00000000-0008-0000-0800-000003000000}"/>
            </a:ext>
          </a:extLst>
        </xdr:cNvPr>
        <xdr:cNvSpPr/>
      </xdr:nvSpPr>
      <xdr:spPr>
        <a:xfrm>
          <a:off x="10716876" y="24984262"/>
          <a:ext cx="1232487" cy="367121"/>
        </a:xfrm>
        <a:prstGeom prst="rect">
          <a:avLst/>
        </a:prstGeom>
        <a:solidFill>
          <a:srgbClr val="CDDEE5"/>
        </a:solidFill>
        <a:ln>
          <a:noFill/>
        </a:ln>
        <a:effectLst>
          <a:outerShdw blurRad="38100" dist="25400" dir="2700000" algn="tl" rotWithShape="0">
            <a:schemeClr val="bg2">
              <a:lumMod val="25000"/>
              <a:alpha val="20000"/>
            </a:schemeClr>
          </a:outerShdw>
        </a:effectLst>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u="none">
              <a:solidFill>
                <a:sysClr val="windowText" lastClr="000000"/>
              </a:solidFill>
              <a:latin typeface="Franklin Gothic Medium" panose="020B0603020102020204" pitchFamily="34" charset="0"/>
            </a:rPr>
            <a:t>&lt;</a:t>
          </a:r>
          <a:r>
            <a:rPr lang="en-US" sz="1050" u="none" baseline="0">
              <a:solidFill>
                <a:sysClr val="windowText" lastClr="000000"/>
              </a:solidFill>
              <a:latin typeface="Franklin Gothic Medium" panose="020B0603020102020204" pitchFamily="34" charset="0"/>
            </a:rPr>
            <a:t> </a:t>
          </a:r>
          <a:endParaRPr lang="en-US" sz="1050" u="none">
            <a:solidFill>
              <a:sysClr val="windowText" lastClr="000000"/>
            </a:solidFill>
            <a:latin typeface="Franklin Gothic Medium" panose="020B0603020102020204" pitchFamily="34" charset="0"/>
          </a:endParaRPr>
        </a:p>
      </xdr:txBody>
    </xdr:sp>
    <xdr:clientData/>
  </xdr:twoCellAnchor>
  <xdr:twoCellAnchor>
    <xdr:from>
      <xdr:col>2</xdr:col>
      <xdr:colOff>9096748</xdr:colOff>
      <xdr:row>1</xdr:row>
      <xdr:rowOff>7471</xdr:rowOff>
    </xdr:from>
    <xdr:to>
      <xdr:col>2</xdr:col>
      <xdr:colOff>10742668</xdr:colOff>
      <xdr:row>2</xdr:row>
      <xdr:rowOff>4931</xdr:rowOff>
    </xdr:to>
    <xdr:sp macro="" textlink="">
      <xdr:nvSpPr>
        <xdr:cNvPr id="4" name="Rectangle 3">
          <a:hlinkClick xmlns:r="http://schemas.openxmlformats.org/officeDocument/2006/relationships" r:id="rId2"/>
          <a:extLst>
            <a:ext uri="{FF2B5EF4-FFF2-40B4-BE49-F238E27FC236}">
              <a16:creationId xmlns:a16="http://schemas.microsoft.com/office/drawing/2014/main" id="{00000000-0008-0000-0800-000004000000}"/>
            </a:ext>
          </a:extLst>
        </xdr:cNvPr>
        <xdr:cNvSpPr/>
      </xdr:nvSpPr>
      <xdr:spPr>
        <a:xfrm>
          <a:off x="11858998" y="359896"/>
          <a:ext cx="1645920" cy="387985"/>
        </a:xfrm>
        <a:prstGeom prst="rect">
          <a:avLst/>
        </a:prstGeom>
        <a:solidFill>
          <a:srgbClr val="CDDEE5"/>
        </a:solidFill>
        <a:ln>
          <a:noFill/>
        </a:ln>
        <a:effectLst>
          <a:outerShdw blurRad="38100" dist="25400" dir="2700000" algn="tl" rotWithShape="0">
            <a:schemeClr val="bg2">
              <a:lumMod val="25000"/>
              <a:alpha val="20000"/>
            </a:schemeClr>
          </a:outerShdw>
        </a:effectLst>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u="none" baseline="0">
              <a:solidFill>
                <a:sysClr val="windowText" lastClr="000000"/>
              </a:solidFill>
              <a:latin typeface="Segoe UI Semibold" panose="020B0702040204020203" pitchFamily="34" charset="0"/>
              <a:cs typeface="Segoe UI Semibold" panose="020B0702040204020203" pitchFamily="34" charset="0"/>
            </a:rPr>
            <a:t>App B Encryption Levels &gt;</a:t>
          </a:r>
          <a:endParaRPr lang="en-US" sz="1050" u="none">
            <a:solidFill>
              <a:sysClr val="windowText" lastClr="000000"/>
            </a:solidFill>
            <a:latin typeface="Segoe UI Semibold" panose="020B0702040204020203" pitchFamily="34" charset="0"/>
            <a:cs typeface="Segoe UI Semibold" panose="020B0702040204020203" pitchFamily="34" charset="0"/>
          </a:endParaRPr>
        </a:p>
      </xdr:txBody>
    </xdr:sp>
    <xdr:clientData/>
  </xdr:twoCellAnchor>
  <xdr:twoCellAnchor>
    <xdr:from>
      <xdr:col>2</xdr:col>
      <xdr:colOff>9305888</xdr:colOff>
      <xdr:row>17</xdr:row>
      <xdr:rowOff>109818</xdr:rowOff>
    </xdr:from>
    <xdr:to>
      <xdr:col>3</xdr:col>
      <xdr:colOff>13842</xdr:colOff>
      <xdr:row>17</xdr:row>
      <xdr:rowOff>475976</xdr:rowOff>
    </xdr:to>
    <xdr:sp macro="" textlink="">
      <xdr:nvSpPr>
        <xdr:cNvPr id="5" name="Rectangle 4">
          <a:hlinkClick xmlns:r="http://schemas.openxmlformats.org/officeDocument/2006/relationships" r:id="rId2"/>
          <a:extLst>
            <a:ext uri="{FF2B5EF4-FFF2-40B4-BE49-F238E27FC236}">
              <a16:creationId xmlns:a16="http://schemas.microsoft.com/office/drawing/2014/main" id="{00000000-0008-0000-0800-000005000000}"/>
            </a:ext>
          </a:extLst>
        </xdr:cNvPr>
        <xdr:cNvSpPr/>
      </xdr:nvSpPr>
      <xdr:spPr>
        <a:xfrm>
          <a:off x="12005545" y="24983675"/>
          <a:ext cx="1234440" cy="366158"/>
        </a:xfrm>
        <a:prstGeom prst="rect">
          <a:avLst/>
        </a:prstGeom>
        <a:solidFill>
          <a:srgbClr val="CDDEE5"/>
        </a:solidFill>
        <a:ln>
          <a:noFill/>
        </a:ln>
        <a:effectLst>
          <a:outerShdw blurRad="38100" dist="25400" dir="2700000" algn="tl" rotWithShape="0">
            <a:schemeClr val="bg2">
              <a:lumMod val="25000"/>
              <a:alpha val="20000"/>
            </a:schemeClr>
          </a:outerShdw>
        </a:effectLst>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u="none" baseline="0">
              <a:solidFill>
                <a:sysClr val="windowText" lastClr="000000"/>
              </a:solidFill>
              <a:latin typeface="Franklin Gothic Medium" panose="020B0603020102020204" pitchFamily="34" charset="0"/>
            </a:rPr>
            <a:t>&gt;</a:t>
          </a:r>
          <a:endParaRPr lang="en-US" sz="1050" u="none">
            <a:solidFill>
              <a:sysClr val="windowText" lastClr="000000"/>
            </a:solidFill>
            <a:latin typeface="Franklin Gothic Medium" panose="020B0603020102020204" pitchFamily="34" charset="0"/>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xdr:col>
      <xdr:colOff>460178</xdr:colOff>
      <xdr:row>0</xdr:row>
      <xdr:rowOff>315651</xdr:rowOff>
    </xdr:from>
    <xdr:to>
      <xdr:col>4</xdr:col>
      <xdr:colOff>827703</xdr:colOff>
      <xdr:row>1</xdr:row>
      <xdr:rowOff>320096</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00000000-0008-0000-0900-000002000000}"/>
            </a:ext>
          </a:extLst>
        </xdr:cNvPr>
        <xdr:cNvSpPr/>
      </xdr:nvSpPr>
      <xdr:spPr>
        <a:xfrm>
          <a:off x="10337603" y="315651"/>
          <a:ext cx="1672450" cy="366395"/>
        </a:xfrm>
        <a:prstGeom prst="rect">
          <a:avLst/>
        </a:prstGeom>
        <a:solidFill>
          <a:srgbClr val="CDDEE5"/>
        </a:solidFill>
        <a:ln>
          <a:noFill/>
        </a:ln>
        <a:effectLst>
          <a:outerShdw blurRad="38100" dist="25400" dir="2700000" algn="tl" rotWithShape="0">
            <a:schemeClr val="bg2">
              <a:lumMod val="25000"/>
              <a:alpha val="20000"/>
            </a:schemeClr>
          </a:outerShdw>
        </a:effectLst>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u="none">
              <a:solidFill>
                <a:sysClr val="windowText" lastClr="000000"/>
              </a:solidFill>
              <a:latin typeface="Segoe UI Semibold" panose="020B0702040204020203" pitchFamily="34" charset="0"/>
              <a:cs typeface="Segoe UI Semibold" panose="020B0702040204020203" pitchFamily="34" charset="0"/>
            </a:rPr>
            <a:t>&lt;</a:t>
          </a:r>
          <a:r>
            <a:rPr lang="en-US" sz="1050" u="none" baseline="0">
              <a:solidFill>
                <a:sysClr val="windowText" lastClr="000000"/>
              </a:solidFill>
              <a:latin typeface="Segoe UI Semibold" panose="020B0702040204020203" pitchFamily="34" charset="0"/>
              <a:cs typeface="Segoe UI Semibold" panose="020B0702040204020203" pitchFamily="34" charset="0"/>
            </a:rPr>
            <a:t> </a:t>
          </a:r>
          <a:r>
            <a:rPr lang="en-US" sz="1050" u="none">
              <a:solidFill>
                <a:sysClr val="windowText" lastClr="000000"/>
              </a:solidFill>
              <a:latin typeface="Segoe UI Semibold" panose="020B0702040204020203" pitchFamily="34" charset="0"/>
              <a:cs typeface="Segoe UI Semibold" panose="020B0702040204020203" pitchFamily="34" charset="0"/>
            </a:rPr>
            <a:t>App A File Desc</a:t>
          </a:r>
        </a:p>
      </xdr:txBody>
    </xdr:sp>
    <xdr:clientData/>
  </xdr:twoCellAnchor>
  <xdr:twoCellAnchor>
    <xdr:from>
      <xdr:col>3</xdr:col>
      <xdr:colOff>76200</xdr:colOff>
      <xdr:row>20</xdr:row>
      <xdr:rowOff>143510</xdr:rowOff>
    </xdr:from>
    <xdr:to>
      <xdr:col>4</xdr:col>
      <xdr:colOff>25987</xdr:colOff>
      <xdr:row>20</xdr:row>
      <xdr:rowOff>509270</xdr:rowOff>
    </xdr:to>
    <xdr:sp macro="" textlink="">
      <xdr:nvSpPr>
        <xdr:cNvPr id="3" name="Rectangle 2">
          <a:hlinkClick xmlns:r="http://schemas.openxmlformats.org/officeDocument/2006/relationships" r:id="rId1"/>
          <a:extLst>
            <a:ext uri="{FF2B5EF4-FFF2-40B4-BE49-F238E27FC236}">
              <a16:creationId xmlns:a16="http://schemas.microsoft.com/office/drawing/2014/main" id="{00000000-0008-0000-0900-000003000000}"/>
            </a:ext>
          </a:extLst>
        </xdr:cNvPr>
        <xdr:cNvSpPr/>
      </xdr:nvSpPr>
      <xdr:spPr>
        <a:xfrm>
          <a:off x="7955280" y="6155690"/>
          <a:ext cx="1252807" cy="365760"/>
        </a:xfrm>
        <a:prstGeom prst="rect">
          <a:avLst/>
        </a:prstGeom>
        <a:solidFill>
          <a:srgbClr val="CDDEE5"/>
        </a:solidFill>
        <a:ln>
          <a:noFill/>
        </a:ln>
        <a:effectLst>
          <a:outerShdw blurRad="38100" dist="25400" dir="2700000" algn="tl" rotWithShape="0">
            <a:schemeClr val="bg2">
              <a:lumMod val="25000"/>
              <a:alpha val="20000"/>
            </a:schemeClr>
          </a:outerShdw>
        </a:effectLst>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u="none">
              <a:solidFill>
                <a:sysClr val="windowText" lastClr="000000"/>
              </a:solidFill>
              <a:latin typeface="Franklin Gothic Medium" panose="020B0603020102020204" pitchFamily="34" charset="0"/>
            </a:rPr>
            <a:t>&lt;</a:t>
          </a:r>
          <a:r>
            <a:rPr lang="en-US" sz="1050" u="none" baseline="0">
              <a:solidFill>
                <a:sysClr val="windowText" lastClr="000000"/>
              </a:solidFill>
              <a:latin typeface="Franklin Gothic Medium" panose="020B0603020102020204" pitchFamily="34" charset="0"/>
            </a:rPr>
            <a:t> </a:t>
          </a:r>
          <a:endParaRPr lang="en-US" sz="1050" u="none">
            <a:solidFill>
              <a:sysClr val="windowText" lastClr="000000"/>
            </a:solidFill>
            <a:latin typeface="Franklin Gothic Medium" panose="020B0603020102020204" pitchFamily="34" charset="0"/>
          </a:endParaRPr>
        </a:p>
      </xdr:txBody>
    </xdr:sp>
    <xdr:clientData/>
  </xdr:twoCellAnchor>
  <xdr:twoCellAnchor>
    <xdr:from>
      <xdr:col>4</xdr:col>
      <xdr:colOff>876935</xdr:colOff>
      <xdr:row>0</xdr:row>
      <xdr:rowOff>314561</xdr:rowOff>
    </xdr:from>
    <xdr:to>
      <xdr:col>5</xdr:col>
      <xdr:colOff>1236345</xdr:colOff>
      <xdr:row>1</xdr:row>
      <xdr:rowOff>326626</xdr:rowOff>
    </xdr:to>
    <xdr:sp macro="" textlink="">
      <xdr:nvSpPr>
        <xdr:cNvPr id="4" name="Rectangle 3">
          <a:hlinkClick xmlns:r="http://schemas.openxmlformats.org/officeDocument/2006/relationships" r:id="rId2"/>
          <a:extLst>
            <a:ext uri="{FF2B5EF4-FFF2-40B4-BE49-F238E27FC236}">
              <a16:creationId xmlns:a16="http://schemas.microsoft.com/office/drawing/2014/main" id="{00000000-0008-0000-0900-000004000000}"/>
            </a:ext>
          </a:extLst>
        </xdr:cNvPr>
        <xdr:cNvSpPr/>
      </xdr:nvSpPr>
      <xdr:spPr>
        <a:xfrm>
          <a:off x="12059285" y="314561"/>
          <a:ext cx="1664335" cy="374015"/>
        </a:xfrm>
        <a:prstGeom prst="rect">
          <a:avLst/>
        </a:prstGeom>
        <a:solidFill>
          <a:srgbClr val="CDDEE5"/>
        </a:solidFill>
        <a:ln>
          <a:noFill/>
        </a:ln>
        <a:effectLst>
          <a:outerShdw blurRad="38100" dist="25400" dir="2700000" algn="tl" rotWithShape="0">
            <a:schemeClr val="bg2">
              <a:lumMod val="25000"/>
              <a:alpha val="20000"/>
            </a:schemeClr>
          </a:outerShdw>
        </a:effectLst>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u="none" baseline="0">
              <a:solidFill>
                <a:sysClr val="windowText" lastClr="000000"/>
              </a:solidFill>
              <a:latin typeface="Segoe UI Semibold" panose="020B0702040204020203" pitchFamily="34" charset="0"/>
              <a:cs typeface="Segoe UI Semibold" panose="020B0702040204020203" pitchFamily="34" charset="0"/>
            </a:rPr>
            <a:t>App C Acronyms &gt;</a:t>
          </a:r>
          <a:endParaRPr lang="en-US" sz="1050" u="none">
            <a:solidFill>
              <a:sysClr val="windowText" lastClr="000000"/>
            </a:solidFill>
            <a:latin typeface="Segoe UI Semibold" panose="020B0702040204020203" pitchFamily="34" charset="0"/>
            <a:cs typeface="Segoe UI Semibold" panose="020B0702040204020203" pitchFamily="34" charset="0"/>
          </a:endParaRPr>
        </a:p>
      </xdr:txBody>
    </xdr:sp>
    <xdr:clientData/>
  </xdr:twoCellAnchor>
  <xdr:twoCellAnchor>
    <xdr:from>
      <xdr:col>4</xdr:col>
      <xdr:colOff>57150</xdr:colOff>
      <xdr:row>20</xdr:row>
      <xdr:rowOff>143510</xdr:rowOff>
    </xdr:from>
    <xdr:to>
      <xdr:col>5</xdr:col>
      <xdr:colOff>8143</xdr:colOff>
      <xdr:row>20</xdr:row>
      <xdr:rowOff>509668</xdr:rowOff>
    </xdr:to>
    <xdr:sp macro="" textlink="">
      <xdr:nvSpPr>
        <xdr:cNvPr id="5" name="Rectangle 4">
          <a:hlinkClick xmlns:r="http://schemas.openxmlformats.org/officeDocument/2006/relationships" r:id="rId2"/>
          <a:extLst>
            <a:ext uri="{FF2B5EF4-FFF2-40B4-BE49-F238E27FC236}">
              <a16:creationId xmlns:a16="http://schemas.microsoft.com/office/drawing/2014/main" id="{00000000-0008-0000-0900-000005000000}"/>
            </a:ext>
          </a:extLst>
        </xdr:cNvPr>
        <xdr:cNvSpPr/>
      </xdr:nvSpPr>
      <xdr:spPr>
        <a:xfrm>
          <a:off x="9239250" y="6155690"/>
          <a:ext cx="1254013" cy="366158"/>
        </a:xfrm>
        <a:prstGeom prst="rect">
          <a:avLst/>
        </a:prstGeom>
        <a:solidFill>
          <a:srgbClr val="CDDEE5"/>
        </a:solidFill>
        <a:ln>
          <a:noFill/>
        </a:ln>
        <a:effectLst>
          <a:outerShdw blurRad="38100" dist="25400" dir="2700000" algn="tl" rotWithShape="0">
            <a:schemeClr val="bg2">
              <a:lumMod val="25000"/>
              <a:alpha val="20000"/>
            </a:schemeClr>
          </a:outerShdw>
        </a:effectLst>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u="none" baseline="0">
              <a:solidFill>
                <a:sysClr val="windowText" lastClr="000000"/>
              </a:solidFill>
              <a:latin typeface="Franklin Gothic Medium" panose="020B0603020102020204" pitchFamily="34" charset="0"/>
            </a:rPr>
            <a:t>&gt;</a:t>
          </a:r>
          <a:endParaRPr lang="en-US" sz="1050" u="none">
            <a:solidFill>
              <a:sysClr val="windowText" lastClr="000000"/>
            </a:solidFill>
            <a:latin typeface="Franklin Gothic Medium" panose="020B06030201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996633"/>
        </a:solidFill>
        <a:ln>
          <a:noFill/>
        </a:ln>
        <a:effectLst>
          <a:outerShdw blurRad="38100" dist="25400" dir="2700000" algn="tl" rotWithShape="0">
            <a:schemeClr val="bg2">
              <a:lumMod val="25000"/>
              <a:alpha val="20000"/>
            </a:schemeClr>
          </a:outerShdw>
        </a:effectLst>
      </a:spPr>
      <a:bodyPr vertOverflow="clip" horzOverflow="clip" rtlCol="0" anchor="ctr"/>
      <a:lstStyle>
        <a:defPPr algn="ctr">
          <a:defRPr sz="1050" u="none">
            <a:solidFill>
              <a:schemeClr val="bg1"/>
            </a:solidFill>
            <a:latin typeface="Franklin Gothic Medium" panose="020B0603020102020204" pitchFamily="34" charset="0"/>
          </a:defRPr>
        </a:defPPr>
      </a:lstStyle>
      <a:style>
        <a:lnRef idx="1">
          <a:schemeClr val="dk1"/>
        </a:lnRef>
        <a:fillRef idx="2">
          <a:schemeClr val="dk1"/>
        </a:fillRef>
        <a:effectRef idx="1">
          <a:schemeClr val="dk1"/>
        </a:effectRef>
        <a:fontRef idx="minor">
          <a:schemeClr val="dk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drawing" Target="../drawings/drawing4.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printerSettings" Target="../printerSettings/printerSettings7.bin"/><Relationship Id="rId16" Type="http://schemas.openxmlformats.org/officeDocument/2006/relationships/ctrlProp" Target="../ctrlProps/ctrlProp12.xml"/><Relationship Id="rId1" Type="http://schemas.openxmlformats.org/officeDocument/2006/relationships/printerSettings" Target="../printerSettings/printerSettings6.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CDDEE5"/>
  </sheetPr>
  <dimension ref="A1:B32"/>
  <sheetViews>
    <sheetView showGridLines="0" tabSelected="1" zoomScaleNormal="100" workbookViewId="0">
      <selection activeCell="A2" sqref="A2"/>
    </sheetView>
  </sheetViews>
  <sheetFormatPr defaultColWidth="8.6640625" defaultRowHeight="17.25" x14ac:dyDescent="0.3"/>
  <cols>
    <col min="1" max="1" width="145.6640625" style="36" customWidth="1"/>
    <col min="2" max="16" width="8.6640625" style="29" customWidth="1"/>
    <col min="17" max="16384" width="8.6640625" style="29"/>
  </cols>
  <sheetData>
    <row r="1" spans="1:2" ht="45" customHeight="1" x14ac:dyDescent="0.25">
      <c r="A1" s="296" t="s">
        <v>543</v>
      </c>
    </row>
    <row r="2" spans="1:2" ht="28.9" customHeight="1" x14ac:dyDescent="0.3">
      <c r="A2" s="459" t="s">
        <v>708</v>
      </c>
    </row>
    <row r="3" spans="1:2" s="455" customFormat="1" ht="35.1" customHeight="1" x14ac:dyDescent="0.3">
      <c r="A3" s="456" t="s">
        <v>701</v>
      </c>
    </row>
    <row r="4" spans="1:2" ht="45" customHeight="1" x14ac:dyDescent="0.45">
      <c r="A4" s="452" t="s">
        <v>561</v>
      </c>
    </row>
    <row r="5" spans="1:2" s="458" customFormat="1" ht="24.95" customHeight="1" x14ac:dyDescent="0.3">
      <c r="A5" s="457" t="s">
        <v>806</v>
      </c>
    </row>
    <row r="6" spans="1:2" ht="25.15" customHeight="1" x14ac:dyDescent="0.3">
      <c r="A6" s="453" t="s">
        <v>807</v>
      </c>
    </row>
    <row r="7" spans="1:2" ht="35.1" customHeight="1" x14ac:dyDescent="0.3">
      <c r="A7" s="454" t="s">
        <v>805</v>
      </c>
    </row>
    <row r="8" spans="1:2" ht="45" customHeight="1" x14ac:dyDescent="0.45">
      <c r="A8" s="434" t="s">
        <v>113</v>
      </c>
    </row>
    <row r="9" spans="1:2" ht="30" customHeight="1" x14ac:dyDescent="0.3">
      <c r="A9" s="448" t="s">
        <v>534</v>
      </c>
    </row>
    <row r="10" spans="1:2" s="451" customFormat="1" ht="30" customHeight="1" x14ac:dyDescent="0.3">
      <c r="A10" s="450" t="s">
        <v>541</v>
      </c>
    </row>
    <row r="11" spans="1:2" ht="30" customHeight="1" x14ac:dyDescent="0.3">
      <c r="A11" s="448" t="s">
        <v>400</v>
      </c>
    </row>
    <row r="12" spans="1:2" ht="30" customHeight="1" x14ac:dyDescent="0.3">
      <c r="A12" s="450" t="s">
        <v>709</v>
      </c>
    </row>
    <row r="13" spans="1:2" ht="30" customHeight="1" x14ac:dyDescent="0.3">
      <c r="A13" s="448" t="s">
        <v>494</v>
      </c>
      <c r="B13" s="32"/>
    </row>
    <row r="14" spans="1:2" ht="30" customHeight="1" x14ac:dyDescent="0.3">
      <c r="A14" s="449" t="s">
        <v>512</v>
      </c>
    </row>
    <row r="15" spans="1:2" ht="30" customHeight="1" x14ac:dyDescent="0.3">
      <c r="A15" s="448" t="s">
        <v>565</v>
      </c>
    </row>
    <row r="16" spans="1:2" ht="30" customHeight="1" x14ac:dyDescent="0.3">
      <c r="A16" s="450" t="s">
        <v>640</v>
      </c>
    </row>
    <row r="17" spans="1:1" ht="30" customHeight="1" x14ac:dyDescent="0.3">
      <c r="A17" s="448" t="s">
        <v>188</v>
      </c>
    </row>
    <row r="18" spans="1:1" ht="30" customHeight="1" x14ac:dyDescent="0.3">
      <c r="A18" s="450" t="s">
        <v>641</v>
      </c>
    </row>
    <row r="19" spans="1:1" ht="30" customHeight="1" x14ac:dyDescent="0.3">
      <c r="A19" s="448" t="s">
        <v>566</v>
      </c>
    </row>
    <row r="20" spans="1:1" ht="30" customHeight="1" x14ac:dyDescent="0.3">
      <c r="A20" s="449" t="s">
        <v>817</v>
      </c>
    </row>
    <row r="21" spans="1:1" ht="30" customHeight="1" x14ac:dyDescent="0.3">
      <c r="A21" s="448" t="s">
        <v>115</v>
      </c>
    </row>
    <row r="22" spans="1:1" ht="30" customHeight="1" x14ac:dyDescent="0.3">
      <c r="A22" s="449" t="s">
        <v>185</v>
      </c>
    </row>
    <row r="23" spans="1:1" ht="30" customHeight="1" x14ac:dyDescent="0.3">
      <c r="A23" s="448" t="s">
        <v>567</v>
      </c>
    </row>
    <row r="24" spans="1:1" ht="30" customHeight="1" x14ac:dyDescent="0.3">
      <c r="A24" s="449" t="s">
        <v>491</v>
      </c>
    </row>
    <row r="25" spans="1:1" ht="30" customHeight="1" x14ac:dyDescent="0.3">
      <c r="A25" s="448" t="s">
        <v>568</v>
      </c>
    </row>
    <row r="26" spans="1:1" ht="30" customHeight="1" x14ac:dyDescent="0.3">
      <c r="A26" s="449" t="s">
        <v>710</v>
      </c>
    </row>
    <row r="27" spans="1:1" ht="30" customHeight="1" x14ac:dyDescent="0.3">
      <c r="A27" s="448" t="s">
        <v>675</v>
      </c>
    </row>
    <row r="28" spans="1:1" ht="30" customHeight="1" x14ac:dyDescent="0.3">
      <c r="A28" s="449" t="s">
        <v>492</v>
      </c>
    </row>
    <row r="29" spans="1:1" ht="30" customHeight="1" x14ac:dyDescent="0.3">
      <c r="A29" s="448" t="s">
        <v>676</v>
      </c>
    </row>
    <row r="30" spans="1:1" ht="30" customHeight="1" x14ac:dyDescent="0.3">
      <c r="A30" s="449" t="s">
        <v>493</v>
      </c>
    </row>
    <row r="31" spans="1:1" ht="30" customHeight="1" x14ac:dyDescent="0.3">
      <c r="A31" s="35"/>
    </row>
    <row r="32" spans="1:1" ht="15.75" x14ac:dyDescent="0.3">
      <c r="A32" s="354" t="s">
        <v>702</v>
      </c>
    </row>
  </sheetData>
  <sheetProtection algorithmName="SHA-512" hashValue="CFzioqKIlb3HIoKyH2mq8Ejhig1FSy6wJixhBgq2GBNneytrWiJoyEHworwMkF889tBPvJDtbbM/P1wZMl1YPg==" saltValue="2cbvOPpmjWW8Va/i8ps0Mg==" spinCount="100000" sheet="1" objects="1" scenarios="1" formatCells="0" formatColumns="0" formatRows="0"/>
  <dataConsolidate link="1"/>
  <customSheetViews>
    <customSheetView guid="{9DB63C14-8C2E-43D7-ACAD-1DD967C25093}" scale="90" showGridLines="0">
      <pageMargins left="0.7" right="0.7" top="0.75" bottom="0.75" header="0.3" footer="0.3"/>
      <pageSetup orientation="portrait" r:id="rId1"/>
    </customSheetView>
  </customSheetViews>
  <hyperlinks>
    <hyperlink ref="A15" location="Research_Project_Info!A1" display="Research_Project_Info" xr:uid="{44745108-0062-488C-A45F-2A00E51855A9}"/>
    <hyperlink ref="A17" location="'File-Level_Request'!A1" display="File-Level Request" xr:uid="{E6887C03-AAF5-42CC-89A8-C584B25AAF53}"/>
    <hyperlink ref="A21" location="Summary!A1" display="Summary" xr:uid="{9CF44780-A651-4F12-B561-B667112BC334}"/>
    <hyperlink ref="A23" location="App_A_File_Desc!A1" display="App_A_File Description" xr:uid="{C65F690B-2448-41B9-AF40-32F7D9E2A764}"/>
    <hyperlink ref="A25" location="App_B_Encryption_Levels!A1" display="App_B_Encryption_Levels" xr:uid="{8F7B31C4-DB4D-4B7B-8F7A-7CEBB2A3409C}"/>
    <hyperlink ref="A19" location="PDE_Request!A1" display="PDE_Request" xr:uid="{38230376-2AB0-44B3-A483-94691F7AF1C6}"/>
    <hyperlink ref="A11" location="About_Request_Form!A1" display="Above Request Form" xr:uid="{463332D7-EA3D-446B-B077-A21D0D68EF1B}"/>
    <hyperlink ref="A27" location="App_C_Acronyms!A1" display="App C Acronyms" xr:uid="{D38B0AC6-19CD-485D-86A8-E1FDC8AE33EA}"/>
    <hyperlink ref="A29" location="App_D_Glossary!A1" display="App D Glossary" xr:uid="{AB0096A7-CA4F-4EEE-B806-0D52AB3732EF}"/>
    <hyperlink ref="A13" location="Form_Instructions!A1" display="Form_Instructions" xr:uid="{91F49272-879A-41E2-A3DE-EE10467DA5BF}"/>
    <hyperlink ref="A9" location="Revision_Log!A1" display="Revision Log" xr:uid="{C350F1C3-296B-4EDD-8E84-1DE9956A0353}"/>
  </hyperlinks>
  <pageMargins left="0.7" right="0.7" top="0.75" bottom="0.75" header="0.3" footer="0.3"/>
  <pageSetup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tabColor rgb="FFFFF6E1"/>
  </sheetPr>
  <dimension ref="A1:F21"/>
  <sheetViews>
    <sheetView showGridLines="0" zoomScaleNormal="100" workbookViewId="0">
      <selection activeCell="A2" sqref="A2"/>
    </sheetView>
  </sheetViews>
  <sheetFormatPr defaultColWidth="8.6640625" defaultRowHeight="17.25" x14ac:dyDescent="0.3"/>
  <cols>
    <col min="1" max="1" width="7.77734375" style="230" customWidth="1"/>
    <col min="2" max="2" width="94.44140625" style="230" customWidth="1"/>
    <col min="3" max="5" width="15.5546875" style="230" customWidth="1"/>
    <col min="6" max="6" width="19.21875" style="230" customWidth="1"/>
    <col min="7" max="16384" width="8.6640625" style="28"/>
  </cols>
  <sheetData>
    <row r="1" spans="1:6" ht="28.35" customHeight="1" x14ac:dyDescent="0.25">
      <c r="A1" s="296" t="s">
        <v>543</v>
      </c>
      <c r="B1" s="306"/>
      <c r="C1" s="306"/>
      <c r="D1" s="306"/>
      <c r="E1" s="306"/>
      <c r="F1" s="203"/>
    </row>
    <row r="2" spans="1:6" ht="30" customHeight="1" x14ac:dyDescent="0.45">
      <c r="A2" s="462" t="s">
        <v>644</v>
      </c>
      <c r="B2" s="310"/>
      <c r="C2" s="310"/>
      <c r="D2" s="310"/>
      <c r="E2" s="310"/>
      <c r="F2" s="242"/>
    </row>
    <row r="3" spans="1:6" ht="20.25" customHeight="1" x14ac:dyDescent="0.5">
      <c r="A3" s="297"/>
      <c r="B3" s="297"/>
      <c r="C3" s="297"/>
      <c r="D3" s="297"/>
      <c r="E3" s="297"/>
      <c r="F3" s="242"/>
    </row>
    <row r="4" spans="1:6" ht="39" customHeight="1" x14ac:dyDescent="0.3">
      <c r="A4" s="414" t="s">
        <v>723</v>
      </c>
      <c r="B4" s="414"/>
      <c r="C4" s="414"/>
      <c r="D4" s="414"/>
      <c r="E4" s="414"/>
      <c r="F4" s="415"/>
    </row>
    <row r="5" spans="1:6" s="31" customFormat="1" ht="19.899999999999999" customHeight="1" x14ac:dyDescent="0.3">
      <c r="A5" s="416" t="s">
        <v>789</v>
      </c>
      <c r="B5" s="416"/>
      <c r="C5" s="416"/>
      <c r="D5" s="416"/>
      <c r="E5" s="416"/>
      <c r="F5" s="417"/>
    </row>
    <row r="6" spans="1:6" s="31" customFormat="1" ht="46.9" customHeight="1" x14ac:dyDescent="0.3">
      <c r="A6" s="418" t="s">
        <v>788</v>
      </c>
      <c r="B6" s="416"/>
      <c r="C6" s="416"/>
      <c r="D6" s="416"/>
      <c r="E6" s="416"/>
      <c r="F6" s="417"/>
    </row>
    <row r="7" spans="1:6" ht="28.5" customHeight="1" x14ac:dyDescent="0.3">
      <c r="A7" s="243"/>
      <c r="B7" s="244" t="str">
        <f>IF(SelectSurvey=0,"IDENTIFIER ENCRYPTION SPECS BY ENCRYPTION VERSION",CONCATENATE("IDENTIFIER ENCRYPTION SPECS BY ENCRYPTION VERSION - ",VLOOKUP(SelectSurvey,SurveyNameLookUp,2,FALSE)))</f>
        <v>IDENTIFIER ENCRYPTION SPECS BY ENCRYPTION VERSION</v>
      </c>
      <c r="C7" s="244"/>
      <c r="D7" s="244"/>
      <c r="E7" s="244"/>
      <c r="F7" s="243"/>
    </row>
    <row r="8" spans="1:6" x14ac:dyDescent="0.3">
      <c r="A8" s="243"/>
      <c r="B8" s="210" t="s">
        <v>126</v>
      </c>
      <c r="C8" s="210" t="s">
        <v>26</v>
      </c>
      <c r="D8" s="210" t="s">
        <v>97</v>
      </c>
      <c r="E8" s="210" t="s">
        <v>98</v>
      </c>
      <c r="F8" s="243"/>
    </row>
    <row r="9" spans="1:6" x14ac:dyDescent="0.3">
      <c r="A9" s="243"/>
      <c r="B9" s="262" t="s">
        <v>127</v>
      </c>
      <c r="C9" s="262" t="str">
        <f>_xlfn.IFNA(VLOOKUP(CONCATENATE(StudyName,B9),Data_Version!D:G,2,FALSE),"")</f>
        <v/>
      </c>
      <c r="D9" s="262" t="str">
        <f>_xlfn.IFNA(VLOOKUP(CONCATENATE(StudyName,B9),Data_Version!D:G,3,FALSE),"")</f>
        <v/>
      </c>
      <c r="E9" s="262" t="str">
        <f>_xlfn.IFNA(VLOOKUP(CONCATENATE(StudyName,B9),Data_Version!D:G,4,FALSE),"")</f>
        <v/>
      </c>
      <c r="F9" s="243"/>
    </row>
    <row r="10" spans="1:6" x14ac:dyDescent="0.3">
      <c r="A10" s="243"/>
      <c r="B10" s="245" t="s">
        <v>128</v>
      </c>
      <c r="C10" s="245" t="str">
        <f>_xlfn.IFNA(VLOOKUP(CONCATENATE(StudyName,B10),Data_Version!D:G,2,FALSE),"")</f>
        <v/>
      </c>
      <c r="D10" s="245" t="str">
        <f>_xlfn.IFNA(VLOOKUP(CONCATENATE(StudyName,B10),Data_Version!D:G,3,FALSE),"")</f>
        <v/>
      </c>
      <c r="E10" s="245" t="str">
        <f>_xlfn.IFNA(VLOOKUP(CONCATENATE(StudyName,B10),Data_Version!D:G,4,FALSE),"")</f>
        <v/>
      </c>
      <c r="F10" s="243"/>
    </row>
    <row r="11" spans="1:6" x14ac:dyDescent="0.3">
      <c r="A11" s="243"/>
      <c r="B11" s="262" t="s">
        <v>129</v>
      </c>
      <c r="C11" s="262" t="str">
        <f>_xlfn.IFNA(VLOOKUP(CONCATENATE(StudyName,B11),Data_Version!D:G,2,FALSE),"")</f>
        <v/>
      </c>
      <c r="D11" s="262" t="str">
        <f>_xlfn.IFNA(VLOOKUP(CONCATENATE(StudyName,B11),Data_Version!D:G,3,FALSE),"")</f>
        <v/>
      </c>
      <c r="E11" s="262" t="str">
        <f>_xlfn.IFNA(VLOOKUP(CONCATENATE(StudyName,B11),Data_Version!D:G,4,FALSE),"")</f>
        <v/>
      </c>
      <c r="F11" s="243"/>
    </row>
    <row r="12" spans="1:6" x14ac:dyDescent="0.3">
      <c r="A12" s="243"/>
      <c r="B12" s="245" t="s">
        <v>130</v>
      </c>
      <c r="C12" s="245" t="str">
        <f>_xlfn.IFNA(VLOOKUP(CONCATENATE(StudyName,B12),Data_Version!D:G,2,FALSE),"")</f>
        <v/>
      </c>
      <c r="D12" s="245" t="str">
        <f>_xlfn.IFNA(VLOOKUP(CONCATENATE(StudyName,B12),Data_Version!D:G,3,FALSE),"")</f>
        <v/>
      </c>
      <c r="E12" s="245" t="str">
        <f>_xlfn.IFNA(VLOOKUP(CONCATENATE(StudyName,B12),Data_Version!D:G,4,FALSE),"")</f>
        <v/>
      </c>
      <c r="F12" s="243"/>
    </row>
    <row r="13" spans="1:6" x14ac:dyDescent="0.3">
      <c r="A13" s="243"/>
      <c r="B13" s="262" t="s">
        <v>207</v>
      </c>
      <c r="C13" s="262" t="str">
        <f>_xlfn.IFNA(VLOOKUP(CONCATENATE(StudyName,B13),Data_Version!D:G,2,FALSE),"")</f>
        <v/>
      </c>
      <c r="D13" s="262" t="str">
        <f>_xlfn.IFNA(VLOOKUP(CONCATENATE(StudyName,B13),Data_Version!D:G,3,FALSE),"")</f>
        <v/>
      </c>
      <c r="E13" s="262" t="str">
        <f>_xlfn.IFNA(VLOOKUP(CONCATENATE(StudyName,B13),Data_Version!D:G,4,FALSE),"")</f>
        <v/>
      </c>
      <c r="F13" s="243"/>
    </row>
    <row r="14" spans="1:6" x14ac:dyDescent="0.3">
      <c r="A14" s="243"/>
      <c r="B14" s="245" t="s">
        <v>208</v>
      </c>
      <c r="C14" s="245" t="str">
        <f>_xlfn.IFNA(VLOOKUP(CONCATENATE(StudyName,B14),Data_Version!D:G,2,FALSE),"")</f>
        <v/>
      </c>
      <c r="D14" s="245" t="str">
        <f>_xlfn.IFNA(VLOOKUP(CONCATENATE(StudyName,B14),Data_Version!D:G,3,FALSE),"")</f>
        <v/>
      </c>
      <c r="E14" s="245" t="str">
        <f>_xlfn.IFNA(VLOOKUP(CONCATENATE(StudyName,B14),Data_Version!D:G,4,FALSE),"")</f>
        <v/>
      </c>
      <c r="F14" s="243"/>
    </row>
    <row r="15" spans="1:6" x14ac:dyDescent="0.3">
      <c r="A15" s="243"/>
      <c r="B15" s="262" t="s">
        <v>132</v>
      </c>
      <c r="C15" s="262" t="str">
        <f>_xlfn.IFNA(VLOOKUP(CONCATENATE(StudyName,B15),Data_Version!D:G,2,FALSE),"")</f>
        <v/>
      </c>
      <c r="D15" s="262" t="str">
        <f>_xlfn.IFNA(VLOOKUP(CONCATENATE(StudyName,B15),Data_Version!D:G,3,FALSE),"")</f>
        <v/>
      </c>
      <c r="E15" s="262" t="str">
        <f>_xlfn.IFNA(VLOOKUP(CONCATENATE(StudyName,B15),Data_Version!D:G,4,FALSE),"")</f>
        <v/>
      </c>
      <c r="F15" s="243"/>
    </row>
    <row r="16" spans="1:6" x14ac:dyDescent="0.3">
      <c r="A16" s="243"/>
      <c r="B16" s="245" t="s">
        <v>133</v>
      </c>
      <c r="C16" s="245" t="str">
        <f>_xlfn.IFNA(VLOOKUP(CONCATENATE(StudyName,B16),Data_Version!D:G,2,FALSE),"")</f>
        <v/>
      </c>
      <c r="D16" s="245" t="str">
        <f>_xlfn.IFNA(VLOOKUP(CONCATENATE(StudyName,B16),Data_Version!D:G,3,FALSE),"")</f>
        <v/>
      </c>
      <c r="E16" s="245" t="str">
        <f>_xlfn.IFNA(VLOOKUP(CONCATENATE(StudyName,B16),Data_Version!D:G,4,FALSE),"")</f>
        <v/>
      </c>
      <c r="F16" s="243"/>
    </row>
    <row r="17" spans="1:6" x14ac:dyDescent="0.3">
      <c r="A17" s="243"/>
      <c r="B17" s="263" t="s">
        <v>134</v>
      </c>
      <c r="C17" s="262" t="str">
        <f>_xlfn.IFNA(VLOOKUP(CONCATENATE(StudyName,B17),Data_Version!D:G,2,FALSE),"")</f>
        <v/>
      </c>
      <c r="D17" s="262" t="str">
        <f>_xlfn.IFNA(VLOOKUP(CONCATENATE(StudyName,B17),Data_Version!D:G,3,FALSE),"")</f>
        <v/>
      </c>
      <c r="E17" s="262" t="str">
        <f>_xlfn.IFNA(VLOOKUP(CONCATENATE(StudyName,B17),Data_Version!D:G,4,FALSE),"")</f>
        <v/>
      </c>
      <c r="F17" s="243"/>
    </row>
    <row r="18" spans="1:6" x14ac:dyDescent="0.3">
      <c r="A18" s="243"/>
      <c r="B18" s="245" t="s">
        <v>135</v>
      </c>
      <c r="C18" s="245" t="str">
        <f>_xlfn.IFNA(VLOOKUP(CONCATENATE(StudyName,B18),Data_Version!D:G,2,FALSE),"")</f>
        <v/>
      </c>
      <c r="D18" s="245" t="str">
        <f>_xlfn.IFNA(VLOOKUP(CONCATENATE(StudyName,B18),Data_Version!D:G,3,FALSE),"")</f>
        <v/>
      </c>
      <c r="E18" s="245" t="str">
        <f>_xlfn.IFNA(VLOOKUP(CONCATENATE(StudyName,B18),Data_Version!D:G,4,FALSE),"")</f>
        <v/>
      </c>
      <c r="F18" s="243"/>
    </row>
    <row r="19" spans="1:6" x14ac:dyDescent="0.3">
      <c r="A19" s="243"/>
      <c r="B19" s="262" t="s">
        <v>136</v>
      </c>
      <c r="C19" s="262" t="str">
        <f>_xlfn.IFNA(VLOOKUP(CONCATENATE(StudyName,B19),Data_Version!D:G,2,FALSE),"")</f>
        <v/>
      </c>
      <c r="D19" s="262" t="str">
        <f>_xlfn.IFNA(VLOOKUP(CONCATENATE(StudyName,B19),Data_Version!D:G,3,FALSE),"")</f>
        <v/>
      </c>
      <c r="E19" s="262" t="str">
        <f>_xlfn.IFNA(VLOOKUP(CONCATENATE(StudyName,B19),Data_Version!D:G,4,FALSE),"")</f>
        <v/>
      </c>
      <c r="F19" s="243"/>
    </row>
    <row r="20" spans="1:6" x14ac:dyDescent="0.3">
      <c r="A20" s="243"/>
      <c r="B20" s="245" t="s">
        <v>137</v>
      </c>
      <c r="C20" s="245" t="str">
        <f>_xlfn.IFNA(VLOOKUP(CONCATENATE(StudyName,B20),Data_Version!D:G,2,FALSE),"")</f>
        <v/>
      </c>
      <c r="D20" s="245" t="str">
        <f>_xlfn.IFNA(VLOOKUP(CONCATENATE(StudyName,B20),Data_Version!D:G,3,FALSE),"")</f>
        <v/>
      </c>
      <c r="E20" s="245" t="str">
        <f>_xlfn.IFNA(VLOOKUP(CONCATENATE(StudyName,B20),Data_Version!D:G,4,FALSE),"")</f>
        <v/>
      </c>
      <c r="F20" s="243"/>
    </row>
    <row r="21" spans="1:6" ht="54.6" customHeight="1" x14ac:dyDescent="0.3">
      <c r="A21" s="240"/>
      <c r="B21" s="359" t="s">
        <v>702</v>
      </c>
      <c r="C21" s="320"/>
      <c r="D21" s="320"/>
      <c r="E21" s="320"/>
      <c r="F21" s="246"/>
    </row>
  </sheetData>
  <sheetProtection algorithmName="SHA-512" hashValue="S4GxacCXiWCa67JJ4SiyTEPrDHEpxwyTmm0HWlAmHaJc4wgp0KswnFAq4hfgi4cMZeMEzW0D911ddn9S7E6rpQ==" saltValue="x3dA0m9Ay7aP5zqKkyseAA==" spinCount="100000" sheet="1" objects="1" scenarios="1" formatCells="0" formatColumns="0" formatRows="0"/>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tabColor rgb="FFFFF6E1"/>
  </sheetPr>
  <dimension ref="A1:D36"/>
  <sheetViews>
    <sheetView zoomScaleNormal="100" workbookViewId="0">
      <selection activeCell="A2" sqref="A2"/>
    </sheetView>
  </sheetViews>
  <sheetFormatPr defaultColWidth="8.6640625" defaultRowHeight="17.25" x14ac:dyDescent="0.3"/>
  <cols>
    <col min="1" max="1" width="7.77734375" style="36" customWidth="1"/>
    <col min="2" max="2" width="15" style="36" customWidth="1"/>
    <col min="3" max="3" width="65.6640625" style="36" customWidth="1"/>
    <col min="4" max="4" width="8.6640625" style="36"/>
    <col min="5" max="16384" width="8.6640625" style="29"/>
  </cols>
  <sheetData>
    <row r="1" spans="1:4" ht="28.5" customHeight="1" x14ac:dyDescent="0.25">
      <c r="A1" s="296" t="s">
        <v>543</v>
      </c>
      <c r="B1" s="231"/>
      <c r="C1" s="231"/>
      <c r="D1" s="232"/>
    </row>
    <row r="2" spans="1:4" ht="30.75" x14ac:dyDescent="0.3">
      <c r="A2" s="465" t="s">
        <v>674</v>
      </c>
      <c r="B2" s="247"/>
      <c r="C2" s="247"/>
      <c r="D2" s="248"/>
    </row>
    <row r="3" spans="1:4" ht="15.95" customHeight="1" x14ac:dyDescent="0.55000000000000004">
      <c r="A3" s="309"/>
      <c r="B3" s="249"/>
      <c r="C3" s="249"/>
      <c r="D3" s="248"/>
    </row>
    <row r="4" spans="1:4" ht="30" customHeight="1" x14ac:dyDescent="0.3">
      <c r="A4" s="419" t="s">
        <v>724</v>
      </c>
      <c r="B4" s="420"/>
      <c r="C4" s="420"/>
      <c r="D4" s="413"/>
    </row>
    <row r="5" spans="1:4" ht="35.25" customHeight="1" x14ac:dyDescent="0.3">
      <c r="A5" s="250"/>
      <c r="B5" s="250"/>
      <c r="C5" s="250"/>
      <c r="D5" s="251"/>
    </row>
    <row r="6" spans="1:4" s="266" customFormat="1" ht="20.100000000000001" customHeight="1" x14ac:dyDescent="0.3">
      <c r="A6" s="264"/>
      <c r="B6" s="277" t="s">
        <v>325</v>
      </c>
      <c r="C6" s="267" t="s">
        <v>326</v>
      </c>
      <c r="D6" s="265"/>
    </row>
    <row r="7" spans="1:4" ht="24.95" customHeight="1" x14ac:dyDescent="0.3">
      <c r="A7" s="237"/>
      <c r="B7" s="278" t="s">
        <v>327</v>
      </c>
      <c r="C7" s="279" t="s">
        <v>328</v>
      </c>
      <c r="D7" s="236"/>
    </row>
    <row r="8" spans="1:4" ht="24.95" customHeight="1" x14ac:dyDescent="0.3">
      <c r="A8" s="237"/>
      <c r="B8" s="280" t="s">
        <v>329</v>
      </c>
      <c r="C8" s="281" t="s">
        <v>330</v>
      </c>
      <c r="D8" s="236"/>
    </row>
    <row r="9" spans="1:4" ht="24.95" customHeight="1" x14ac:dyDescent="0.3">
      <c r="A9" s="237"/>
      <c r="B9" s="278" t="s">
        <v>331</v>
      </c>
      <c r="C9" s="279" t="s">
        <v>332</v>
      </c>
      <c r="D9" s="236"/>
    </row>
    <row r="10" spans="1:4" ht="24.95" customHeight="1" x14ac:dyDescent="0.3">
      <c r="A10" s="237"/>
      <c r="B10" s="280" t="s">
        <v>333</v>
      </c>
      <c r="C10" s="281" t="s">
        <v>334</v>
      </c>
      <c r="D10" s="236"/>
    </row>
    <row r="11" spans="1:4" ht="24.95" customHeight="1" x14ac:dyDescent="0.3">
      <c r="A11" s="237"/>
      <c r="B11" s="278" t="s">
        <v>324</v>
      </c>
      <c r="C11" s="279" t="s">
        <v>335</v>
      </c>
      <c r="D11" s="236"/>
    </row>
    <row r="12" spans="1:4" ht="24.95" customHeight="1" x14ac:dyDescent="0.3">
      <c r="A12" s="237"/>
      <c r="B12" s="280" t="s">
        <v>336</v>
      </c>
      <c r="C12" s="281" t="s">
        <v>337</v>
      </c>
      <c r="D12" s="236"/>
    </row>
    <row r="13" spans="1:4" ht="24.95" customHeight="1" x14ac:dyDescent="0.3">
      <c r="A13" s="237"/>
      <c r="B13" s="278" t="s">
        <v>338</v>
      </c>
      <c r="C13" s="279" t="s">
        <v>339</v>
      </c>
      <c r="D13" s="236"/>
    </row>
    <row r="14" spans="1:4" ht="24.95" customHeight="1" x14ac:dyDescent="0.3">
      <c r="A14" s="237"/>
      <c r="B14" s="280" t="s">
        <v>687</v>
      </c>
      <c r="C14" s="281" t="s">
        <v>692</v>
      </c>
      <c r="D14" s="236"/>
    </row>
    <row r="15" spans="1:4" ht="24.95" customHeight="1" x14ac:dyDescent="0.3">
      <c r="A15" s="237"/>
      <c r="B15" s="278" t="s">
        <v>340</v>
      </c>
      <c r="C15" s="279" t="s">
        <v>341</v>
      </c>
      <c r="D15" s="236"/>
    </row>
    <row r="16" spans="1:4" ht="24.95" customHeight="1" x14ac:dyDescent="0.3">
      <c r="A16" s="237"/>
      <c r="B16" s="280" t="s">
        <v>342</v>
      </c>
      <c r="C16" s="281" t="s">
        <v>343</v>
      </c>
      <c r="D16" s="236"/>
    </row>
    <row r="17" spans="1:4" ht="24.95" customHeight="1" x14ac:dyDescent="0.3">
      <c r="A17" s="237"/>
      <c r="B17" s="278" t="s">
        <v>344</v>
      </c>
      <c r="C17" s="279" t="s">
        <v>345</v>
      </c>
      <c r="D17" s="236"/>
    </row>
    <row r="18" spans="1:4" ht="24.95" customHeight="1" x14ac:dyDescent="0.3">
      <c r="A18" s="237"/>
      <c r="B18" s="280" t="s">
        <v>346</v>
      </c>
      <c r="C18" s="281" t="s">
        <v>347</v>
      </c>
      <c r="D18" s="236"/>
    </row>
    <row r="19" spans="1:4" ht="24.95" customHeight="1" x14ac:dyDescent="0.3">
      <c r="A19" s="237"/>
      <c r="B19" s="278" t="s">
        <v>348</v>
      </c>
      <c r="C19" s="279" t="s">
        <v>349</v>
      </c>
      <c r="D19" s="236"/>
    </row>
    <row r="20" spans="1:4" ht="24.95" customHeight="1" x14ac:dyDescent="0.3">
      <c r="A20" s="237"/>
      <c r="B20" s="280" t="s">
        <v>350</v>
      </c>
      <c r="C20" s="281" t="s">
        <v>351</v>
      </c>
      <c r="D20" s="236"/>
    </row>
    <row r="21" spans="1:4" ht="24.95" customHeight="1" x14ac:dyDescent="0.3">
      <c r="A21" s="237"/>
      <c r="B21" s="278" t="s">
        <v>38</v>
      </c>
      <c r="C21" s="279" t="s">
        <v>352</v>
      </c>
      <c r="D21" s="236"/>
    </row>
    <row r="22" spans="1:4" ht="24.95" customHeight="1" x14ac:dyDescent="0.3">
      <c r="A22" s="237"/>
      <c r="B22" s="280" t="s">
        <v>353</v>
      </c>
      <c r="C22" s="281" t="s">
        <v>354</v>
      </c>
      <c r="D22" s="236"/>
    </row>
    <row r="23" spans="1:4" ht="24.95" customHeight="1" x14ac:dyDescent="0.3">
      <c r="A23" s="237"/>
      <c r="B23" s="278" t="s">
        <v>355</v>
      </c>
      <c r="C23" s="279" t="s">
        <v>356</v>
      </c>
      <c r="D23" s="236"/>
    </row>
    <row r="24" spans="1:4" ht="24.95" customHeight="1" x14ac:dyDescent="0.3">
      <c r="A24" s="237"/>
      <c r="B24" s="280" t="s">
        <v>357</v>
      </c>
      <c r="C24" s="281" t="s">
        <v>358</v>
      </c>
      <c r="D24" s="236"/>
    </row>
    <row r="25" spans="1:4" ht="24.95" customHeight="1" x14ac:dyDescent="0.3">
      <c r="A25" s="237"/>
      <c r="B25" s="278" t="s">
        <v>359</v>
      </c>
      <c r="C25" s="279" t="s">
        <v>360</v>
      </c>
      <c r="D25" s="236"/>
    </row>
    <row r="26" spans="1:4" ht="24.95" customHeight="1" x14ac:dyDescent="0.3">
      <c r="A26" s="237"/>
      <c r="B26" s="280" t="s">
        <v>361</v>
      </c>
      <c r="C26" s="281" t="s">
        <v>362</v>
      </c>
      <c r="D26" s="236"/>
    </row>
    <row r="27" spans="1:4" ht="24.95" customHeight="1" x14ac:dyDescent="0.3">
      <c r="A27" s="237"/>
      <c r="B27" s="278" t="s">
        <v>363</v>
      </c>
      <c r="C27" s="279" t="s">
        <v>364</v>
      </c>
      <c r="D27" s="236"/>
    </row>
    <row r="28" spans="1:4" ht="24.95" customHeight="1" x14ac:dyDescent="0.3">
      <c r="A28" s="237"/>
      <c r="B28" s="280" t="s">
        <v>365</v>
      </c>
      <c r="C28" s="281" t="s">
        <v>366</v>
      </c>
      <c r="D28" s="236"/>
    </row>
    <row r="29" spans="1:4" ht="24.95" customHeight="1" x14ac:dyDescent="0.3">
      <c r="A29" s="237"/>
      <c r="B29" s="278" t="s">
        <v>367</v>
      </c>
      <c r="C29" s="279" t="s">
        <v>368</v>
      </c>
      <c r="D29" s="236"/>
    </row>
    <row r="30" spans="1:4" ht="24.95" customHeight="1" x14ac:dyDescent="0.3">
      <c r="A30" s="237"/>
      <c r="B30" s="280" t="s">
        <v>369</v>
      </c>
      <c r="C30" s="281" t="s">
        <v>370</v>
      </c>
      <c r="D30" s="236"/>
    </row>
    <row r="31" spans="1:4" ht="24.95" customHeight="1" x14ac:dyDescent="0.3">
      <c r="A31" s="237"/>
      <c r="B31" s="278" t="s">
        <v>371</v>
      </c>
      <c r="C31" s="279" t="s">
        <v>372</v>
      </c>
      <c r="D31" s="236"/>
    </row>
    <row r="32" spans="1:4" ht="24.95" customHeight="1" x14ac:dyDescent="0.3">
      <c r="A32" s="237"/>
      <c r="B32" s="280" t="s">
        <v>373</v>
      </c>
      <c r="C32" s="281" t="s">
        <v>374</v>
      </c>
      <c r="D32" s="236"/>
    </row>
    <row r="33" spans="1:4" ht="24.95" customHeight="1" x14ac:dyDescent="0.3">
      <c r="A33" s="237"/>
      <c r="B33" s="278" t="s">
        <v>375</v>
      </c>
      <c r="C33" s="279" t="s">
        <v>376</v>
      </c>
      <c r="D33" s="236"/>
    </row>
    <row r="34" spans="1:4" ht="24.95" customHeight="1" x14ac:dyDescent="0.3">
      <c r="A34" s="237"/>
      <c r="B34" s="282" t="s">
        <v>377</v>
      </c>
      <c r="C34" s="281" t="s">
        <v>378</v>
      </c>
      <c r="D34" s="236"/>
    </row>
    <row r="35" spans="1:4" s="272" customFormat="1" ht="15" customHeight="1" x14ac:dyDescent="0.3">
      <c r="A35" s="239"/>
      <c r="B35" s="283"/>
      <c r="C35" s="271"/>
      <c r="D35" s="239"/>
    </row>
    <row r="36" spans="1:4" s="270" customFormat="1" ht="45" customHeight="1" x14ac:dyDescent="0.3">
      <c r="A36" s="268"/>
      <c r="B36" s="360" t="s">
        <v>702</v>
      </c>
      <c r="C36" s="321"/>
      <c r="D36" s="269"/>
    </row>
  </sheetData>
  <sheetProtection algorithmName="SHA-512" hashValue="4DmGcFZwt/HGbku1mpatloolwBfNv6RrrCCtlcY3UQCraVQi9UsQ4F84xnifkEu4tm4ER+VMx4Vrx/PVPkdMnw==" saltValue="zQvs1OrVZf9zTIrwNa5jHQ==" spinCount="100000" sheet="1" objects="1" scenarios="1" formatCells="0" formatColumns="0" formatRows="0"/>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rgb="FFFFF6E1"/>
  </sheetPr>
  <dimension ref="A1:E20"/>
  <sheetViews>
    <sheetView zoomScaleNormal="100" workbookViewId="0">
      <selection activeCell="A2" sqref="A2"/>
    </sheetView>
  </sheetViews>
  <sheetFormatPr defaultColWidth="8.6640625" defaultRowHeight="17.25" x14ac:dyDescent="0.3"/>
  <cols>
    <col min="1" max="1" width="7.77734375" style="36" customWidth="1"/>
    <col min="2" max="2" width="39.6640625" style="36" customWidth="1"/>
    <col min="3" max="3" width="24.44140625" style="36" customWidth="1"/>
    <col min="4" max="4" width="82.44140625" style="36" customWidth="1"/>
    <col min="5" max="5" width="8.6640625" style="36"/>
    <col min="6" max="16384" width="8.6640625" style="29"/>
  </cols>
  <sheetData>
    <row r="1" spans="1:5" ht="28.5" customHeight="1" x14ac:dyDescent="0.25">
      <c r="A1" s="296" t="s">
        <v>543</v>
      </c>
      <c r="B1" s="231"/>
      <c r="C1" s="231"/>
      <c r="D1" s="231"/>
      <c r="E1" s="232"/>
    </row>
    <row r="2" spans="1:5" ht="30.75" x14ac:dyDescent="0.3">
      <c r="A2" s="465" t="s">
        <v>673</v>
      </c>
      <c r="B2" s="248"/>
      <c r="C2" s="248"/>
      <c r="D2" s="248"/>
      <c r="E2" s="248"/>
    </row>
    <row r="3" spans="1:5" ht="20.25" customHeight="1" x14ac:dyDescent="0.55000000000000004">
      <c r="A3" s="309"/>
      <c r="B3" s="249"/>
      <c r="C3" s="249"/>
      <c r="D3" s="249"/>
      <c r="E3" s="248"/>
    </row>
    <row r="4" spans="1:5" ht="30" customHeight="1" x14ac:dyDescent="0.3">
      <c r="A4" s="419" t="s">
        <v>705</v>
      </c>
      <c r="B4" s="420"/>
      <c r="C4" s="420"/>
      <c r="D4" s="412"/>
      <c r="E4" s="413"/>
    </row>
    <row r="5" spans="1:5" ht="35.25" customHeight="1" x14ac:dyDescent="0.3">
      <c r="A5" s="250"/>
      <c r="B5" s="250"/>
      <c r="C5" s="250"/>
      <c r="D5" s="250"/>
      <c r="E5" s="251"/>
    </row>
    <row r="6" spans="1:5" ht="20.100000000000001" customHeight="1" x14ac:dyDescent="0.3">
      <c r="A6" s="237"/>
      <c r="B6" s="273" t="s">
        <v>498</v>
      </c>
      <c r="C6" s="273" t="s">
        <v>379</v>
      </c>
      <c r="D6" s="273" t="s">
        <v>154</v>
      </c>
      <c r="E6" s="236"/>
    </row>
    <row r="7" spans="1:5" ht="24.95" customHeight="1" x14ac:dyDescent="0.3">
      <c r="A7" s="237"/>
      <c r="B7" s="289" t="s">
        <v>380</v>
      </c>
      <c r="C7" s="290" t="s">
        <v>381</v>
      </c>
      <c r="D7" s="287" t="s">
        <v>382</v>
      </c>
      <c r="E7" s="236"/>
    </row>
    <row r="8" spans="1:5" ht="24.95" customHeight="1" x14ac:dyDescent="0.3">
      <c r="A8" s="237"/>
      <c r="B8" s="291" t="s">
        <v>383</v>
      </c>
      <c r="C8" s="292" t="s">
        <v>384</v>
      </c>
      <c r="D8" s="288" t="s">
        <v>385</v>
      </c>
      <c r="E8" s="236"/>
    </row>
    <row r="9" spans="1:5" ht="24.95" customHeight="1" x14ac:dyDescent="0.3">
      <c r="A9" s="237"/>
      <c r="B9" s="289" t="s">
        <v>383</v>
      </c>
      <c r="C9" s="290" t="s">
        <v>386</v>
      </c>
      <c r="D9" s="287" t="s">
        <v>387</v>
      </c>
      <c r="E9" s="236"/>
    </row>
    <row r="10" spans="1:5" ht="24.95" customHeight="1" x14ac:dyDescent="0.3">
      <c r="A10" s="237"/>
      <c r="B10" s="291" t="s">
        <v>524</v>
      </c>
      <c r="C10" s="292" t="s">
        <v>525</v>
      </c>
      <c r="D10" s="288" t="s">
        <v>526</v>
      </c>
      <c r="E10" s="236"/>
    </row>
    <row r="11" spans="1:5" ht="48" customHeight="1" x14ac:dyDescent="0.3">
      <c r="A11" s="237"/>
      <c r="B11" s="289" t="s">
        <v>114</v>
      </c>
      <c r="C11" s="290" t="s">
        <v>388</v>
      </c>
      <c r="D11" s="287" t="s">
        <v>706</v>
      </c>
      <c r="E11" s="236"/>
    </row>
    <row r="12" spans="1:5" ht="54.95" customHeight="1" x14ac:dyDescent="0.3">
      <c r="A12" s="237"/>
      <c r="B12" s="293" t="s">
        <v>557</v>
      </c>
      <c r="C12" s="292" t="s">
        <v>523</v>
      </c>
      <c r="D12" s="288" t="s">
        <v>530</v>
      </c>
      <c r="E12" s="236"/>
    </row>
    <row r="13" spans="1:5" ht="24.95" customHeight="1" x14ac:dyDescent="0.3">
      <c r="A13" s="237"/>
      <c r="B13" s="294" t="s">
        <v>527</v>
      </c>
      <c r="C13" s="290" t="s">
        <v>528</v>
      </c>
      <c r="D13" s="287" t="s">
        <v>529</v>
      </c>
      <c r="E13" s="236"/>
    </row>
    <row r="14" spans="1:5" ht="35.25" customHeight="1" x14ac:dyDescent="0.3">
      <c r="A14" s="237"/>
      <c r="B14" s="293" t="s">
        <v>389</v>
      </c>
      <c r="C14" s="292" t="s">
        <v>390</v>
      </c>
      <c r="D14" s="288" t="s">
        <v>391</v>
      </c>
      <c r="E14" s="236"/>
    </row>
    <row r="15" spans="1:5" ht="35.25" customHeight="1" x14ac:dyDescent="0.3">
      <c r="A15" s="237"/>
      <c r="B15" s="294" t="s">
        <v>389</v>
      </c>
      <c r="C15" s="290" t="s">
        <v>392</v>
      </c>
      <c r="D15" s="287" t="s">
        <v>393</v>
      </c>
      <c r="E15" s="236"/>
    </row>
    <row r="16" spans="1:5" ht="35.25" customHeight="1" x14ac:dyDescent="0.3">
      <c r="A16" s="237"/>
      <c r="B16" s="293" t="s">
        <v>389</v>
      </c>
      <c r="C16" s="292" t="s">
        <v>394</v>
      </c>
      <c r="D16" s="288" t="s">
        <v>395</v>
      </c>
      <c r="E16" s="236"/>
    </row>
    <row r="17" spans="1:5" ht="24.95" customHeight="1" x14ac:dyDescent="0.3">
      <c r="A17" s="237"/>
      <c r="B17" s="289" t="s">
        <v>114</v>
      </c>
      <c r="C17" s="290" t="s">
        <v>396</v>
      </c>
      <c r="D17" s="287" t="s">
        <v>707</v>
      </c>
      <c r="E17" s="236"/>
    </row>
    <row r="18" spans="1:5" ht="45.6" customHeight="1" x14ac:dyDescent="0.3">
      <c r="A18" s="237"/>
      <c r="B18" s="295" t="s">
        <v>397</v>
      </c>
      <c r="C18" s="292" t="s">
        <v>398</v>
      </c>
      <c r="D18" s="288" t="s">
        <v>399</v>
      </c>
      <c r="E18" s="236"/>
    </row>
    <row r="19" spans="1:5" ht="15" customHeight="1" x14ac:dyDescent="0.3">
      <c r="A19" s="237"/>
      <c r="B19" s="275"/>
      <c r="C19" s="276"/>
      <c r="D19" s="274"/>
      <c r="E19" s="239"/>
    </row>
    <row r="20" spans="1:5" ht="45" customHeight="1" x14ac:dyDescent="0.3">
      <c r="A20" s="240"/>
      <c r="B20" s="357" t="s">
        <v>702</v>
      </c>
      <c r="C20" s="318"/>
      <c r="D20" s="322"/>
      <c r="E20" s="241"/>
    </row>
  </sheetData>
  <sheetProtection algorithmName="SHA-512" hashValue="oHLihK3cTOG3z/LXKpwgXil7ASFXHfUSduM3aPUow+2fWbli1WHGk42+zgTKaOIJIAiUwXC9GOPIrmPM4UE8ew==" saltValue="Lh1UXfH5N/XKBoRagD/kFg==" spinCount="100000" sheet="1" objects="1" scenarios="1" formatCells="0" formatColumns="0" formatRows="0"/>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9"/>
  <dimension ref="A1:F436"/>
  <sheetViews>
    <sheetView zoomScale="70" zoomScaleNormal="70" workbookViewId="0"/>
  </sheetViews>
  <sheetFormatPr defaultRowHeight="17.25" x14ac:dyDescent="0.3"/>
  <cols>
    <col min="1" max="1" width="13.109375" bestFit="1" customWidth="1"/>
    <col min="2" max="2" width="77.109375" bestFit="1" customWidth="1"/>
    <col min="3" max="3" width="38.88671875" customWidth="1"/>
    <col min="4" max="4" width="39.33203125" customWidth="1"/>
    <col min="5" max="5" width="11.5546875" customWidth="1"/>
    <col min="6" max="6" width="9.6640625" bestFit="1" customWidth="1"/>
  </cols>
  <sheetData>
    <row r="1" spans="1:6" ht="21" x14ac:dyDescent="0.3">
      <c r="A1" s="3" t="s">
        <v>28</v>
      </c>
    </row>
    <row r="2" spans="1:6" x14ac:dyDescent="0.3">
      <c r="B2" t="s">
        <v>412</v>
      </c>
      <c r="C2" t="s">
        <v>414</v>
      </c>
      <c r="D2" t="s">
        <v>413</v>
      </c>
      <c r="E2" t="s">
        <v>418</v>
      </c>
    </row>
    <row r="3" spans="1:6" x14ac:dyDescent="0.3">
      <c r="B3" t="s">
        <v>420</v>
      </c>
      <c r="C3" t="s">
        <v>421</v>
      </c>
      <c r="D3" t="s">
        <v>419</v>
      </c>
      <c r="E3">
        <f>VLOOKUP(SelectSurvey,SurveyNameLookUp,3,FALSE)</f>
        <v>0</v>
      </c>
    </row>
    <row r="4" spans="1:6" x14ac:dyDescent="0.3">
      <c r="C4" s="13"/>
      <c r="D4" s="13"/>
      <c r="E4" s="13"/>
      <c r="F4" s="13"/>
    </row>
    <row r="5" spans="1:6" x14ac:dyDescent="0.3">
      <c r="A5" t="s">
        <v>476</v>
      </c>
      <c r="C5" s="13"/>
      <c r="D5" s="13"/>
      <c r="E5" s="13"/>
      <c r="F5" s="13"/>
    </row>
    <row r="6" spans="1:6" x14ac:dyDescent="0.3">
      <c r="B6" t="s">
        <v>416</v>
      </c>
      <c r="C6" s="13" t="s">
        <v>417</v>
      </c>
      <c r="D6" s="13"/>
      <c r="E6" s="13"/>
      <c r="F6" s="13"/>
    </row>
    <row r="7" spans="1:6" x14ac:dyDescent="0.3">
      <c r="A7" s="14" t="s">
        <v>411</v>
      </c>
      <c r="B7" s="14" t="s">
        <v>408</v>
      </c>
      <c r="C7" s="15" t="s">
        <v>407</v>
      </c>
      <c r="D7" s="15" t="s">
        <v>415</v>
      </c>
      <c r="E7" s="15" t="s">
        <v>405</v>
      </c>
      <c r="F7" s="15" t="s">
        <v>406</v>
      </c>
    </row>
    <row r="8" spans="1:6" x14ac:dyDescent="0.3">
      <c r="A8" t="s">
        <v>217</v>
      </c>
      <c r="B8" t="s">
        <v>290</v>
      </c>
      <c r="C8" s="13" t="s">
        <v>83</v>
      </c>
      <c r="D8" s="13" t="str">
        <f>CONCATENATE(A8,C8)</f>
        <v>HABCDenominator (DN)</v>
      </c>
      <c r="E8" s="13">
        <v>1996</v>
      </c>
      <c r="F8" s="13">
        <v>2010</v>
      </c>
    </row>
    <row r="9" spans="1:6" x14ac:dyDescent="0.3">
      <c r="A9" t="s">
        <v>217</v>
      </c>
      <c r="B9" t="s">
        <v>290</v>
      </c>
      <c r="C9" s="13" t="s">
        <v>283</v>
      </c>
      <c r="D9" s="13" t="str">
        <f t="shared" ref="D9:D73" si="0">CONCATENATE(A9,C9)</f>
        <v>HABCMaster Beneficiary Summary File (MBSF): Base – Segment (A/B/C/D)</v>
      </c>
      <c r="E9" s="13" t="s">
        <v>30</v>
      </c>
      <c r="F9" s="13" t="s">
        <v>30</v>
      </c>
    </row>
    <row r="10" spans="1:6" x14ac:dyDescent="0.3">
      <c r="A10" t="s">
        <v>217</v>
      </c>
      <c r="B10" t="s">
        <v>291</v>
      </c>
      <c r="C10" s="13" t="s">
        <v>284</v>
      </c>
      <c r="D10" s="13" t="str">
        <f t="shared" si="0"/>
        <v>HABCMaster Beneficiary Summary File (MBSF): Chronic Conditions</v>
      </c>
      <c r="E10" s="13" t="s">
        <v>30</v>
      </c>
      <c r="F10" s="13" t="s">
        <v>30</v>
      </c>
    </row>
    <row r="11" spans="1:6" x14ac:dyDescent="0.3">
      <c r="A11" t="s">
        <v>217</v>
      </c>
      <c r="B11" t="s">
        <v>291</v>
      </c>
      <c r="C11" s="13" t="s">
        <v>285</v>
      </c>
      <c r="D11" s="13" t="str">
        <f t="shared" si="0"/>
        <v>HABCMaster Beneficiary Summary File (MBSF): Cost &amp; Utilization</v>
      </c>
      <c r="E11" s="13" t="s">
        <v>30</v>
      </c>
      <c r="F11" s="13" t="s">
        <v>30</v>
      </c>
    </row>
    <row r="12" spans="1:6" x14ac:dyDescent="0.3">
      <c r="A12" t="s">
        <v>217</v>
      </c>
      <c r="B12" t="s">
        <v>291</v>
      </c>
      <c r="C12" s="13" t="s">
        <v>286</v>
      </c>
      <c r="D12" s="13" t="str">
        <f t="shared" si="0"/>
        <v xml:space="preserve">HABCMaster Beneficiary Summary File (MBSF): Other Chronic or Potentially Disabling Conditions </v>
      </c>
      <c r="E12" s="13" t="s">
        <v>30</v>
      </c>
      <c r="F12" s="13" t="s">
        <v>30</v>
      </c>
    </row>
    <row r="13" spans="1:6" x14ac:dyDescent="0.3">
      <c r="A13" t="s">
        <v>217</v>
      </c>
      <c r="B13" t="s">
        <v>292</v>
      </c>
      <c r="C13" s="13" t="s">
        <v>246</v>
      </c>
      <c r="D13" s="13" t="str">
        <f t="shared" si="0"/>
        <v>HABCMedicaid Analytic eXtract (MAX) Personal Summary (PS) Enrollment Data</v>
      </c>
      <c r="E13" s="13" t="s">
        <v>30</v>
      </c>
      <c r="F13" s="13" t="s">
        <v>30</v>
      </c>
    </row>
    <row r="14" spans="1:6" x14ac:dyDescent="0.3">
      <c r="A14" t="s">
        <v>217</v>
      </c>
      <c r="B14" t="s">
        <v>292</v>
      </c>
      <c r="C14" s="13" t="s">
        <v>267</v>
      </c>
      <c r="D14" s="13" t="str">
        <f t="shared" si="0"/>
        <v>HABCTMSIS Analytic Files (TAF) Demographic and Eligibility (DE) Enrollment Data</v>
      </c>
      <c r="E14" s="13" t="s">
        <v>30</v>
      </c>
      <c r="F14" s="13" t="s">
        <v>30</v>
      </c>
    </row>
    <row r="15" spans="1:6" x14ac:dyDescent="0.3">
      <c r="A15" t="s">
        <v>217</v>
      </c>
      <c r="B15" t="s">
        <v>293</v>
      </c>
      <c r="C15" s="13" t="s">
        <v>432</v>
      </c>
      <c r="D15" s="13" t="str">
        <f t="shared" si="0"/>
        <v>HABCMedicare Carrier (PB) Claims</v>
      </c>
      <c r="E15" s="13">
        <v>1996</v>
      </c>
      <c r="F15" s="13">
        <v>2010</v>
      </c>
    </row>
    <row r="16" spans="1:6" x14ac:dyDescent="0.3">
      <c r="A16" t="s">
        <v>217</v>
      </c>
      <c r="B16" t="s">
        <v>293</v>
      </c>
      <c r="C16" s="13" t="s">
        <v>433</v>
      </c>
      <c r="D16" s="13" t="str">
        <f t="shared" si="0"/>
        <v>HABCMedicare Durable Medical Equipment (DM) Claims</v>
      </c>
      <c r="E16" s="13">
        <v>1996</v>
      </c>
      <c r="F16" s="13">
        <v>2010</v>
      </c>
    </row>
    <row r="17" spans="1:6" x14ac:dyDescent="0.3">
      <c r="A17" t="s">
        <v>217</v>
      </c>
      <c r="B17" t="s">
        <v>293</v>
      </c>
      <c r="C17" s="13" t="s">
        <v>434</v>
      </c>
      <c r="D17" s="13" t="str">
        <f t="shared" si="0"/>
        <v>HABCMedicare Home Health (HH) Claims</v>
      </c>
      <c r="E17" s="13">
        <v>1996</v>
      </c>
      <c r="F17" s="13">
        <v>2010</v>
      </c>
    </row>
    <row r="18" spans="1:6" x14ac:dyDescent="0.3">
      <c r="A18" t="s">
        <v>217</v>
      </c>
      <c r="B18" t="s">
        <v>293</v>
      </c>
      <c r="C18" s="13" t="s">
        <v>435</v>
      </c>
      <c r="D18" s="13" t="str">
        <f t="shared" si="0"/>
        <v>HABCMedicare Hospice (HS) Claims</v>
      </c>
      <c r="E18" s="13">
        <v>1996</v>
      </c>
      <c r="F18" s="13">
        <v>2010</v>
      </c>
    </row>
    <row r="19" spans="1:6" x14ac:dyDescent="0.3">
      <c r="A19" t="s">
        <v>217</v>
      </c>
      <c r="B19" t="s">
        <v>293</v>
      </c>
      <c r="C19" s="13" t="s">
        <v>436</v>
      </c>
      <c r="D19" s="13" t="str">
        <f t="shared" si="0"/>
        <v>HABCMedicare Inpatient (IP) Claims</v>
      </c>
      <c r="E19" s="13">
        <v>1996</v>
      </c>
      <c r="F19" s="13">
        <v>2010</v>
      </c>
    </row>
    <row r="20" spans="1:6" x14ac:dyDescent="0.3">
      <c r="A20" t="s">
        <v>217</v>
      </c>
      <c r="B20" t="s">
        <v>293</v>
      </c>
      <c r="C20" s="13" t="s">
        <v>437</v>
      </c>
      <c r="D20" s="13" t="str">
        <f t="shared" si="0"/>
        <v>HABCMedicare Outpatient (OP) Claims</v>
      </c>
      <c r="E20" s="13">
        <v>1996</v>
      </c>
      <c r="F20" s="13">
        <v>2010</v>
      </c>
    </row>
    <row r="21" spans="1:6" x14ac:dyDescent="0.3">
      <c r="A21" t="s">
        <v>217</v>
      </c>
      <c r="B21" t="s">
        <v>293</v>
      </c>
      <c r="C21" s="13" t="s">
        <v>438</v>
      </c>
      <c r="D21" s="13" t="str">
        <f t="shared" si="0"/>
        <v>HABCMedicare Skilled Nursing Facility (SN) Claims</v>
      </c>
      <c r="E21" s="13">
        <v>1996</v>
      </c>
      <c r="F21" s="13">
        <v>2010</v>
      </c>
    </row>
    <row r="22" spans="1:6" x14ac:dyDescent="0.3">
      <c r="A22" t="s">
        <v>217</v>
      </c>
      <c r="B22" t="s">
        <v>293</v>
      </c>
      <c r="C22" s="13" t="s">
        <v>715</v>
      </c>
      <c r="D22" s="13" t="str">
        <f t="shared" si="0"/>
        <v>HABCLINKAGE-Built Medicare Provider Analysis &amp; Review (MedPAR)</v>
      </c>
      <c r="E22" s="13" t="s">
        <v>30</v>
      </c>
      <c r="F22" s="13" t="s">
        <v>30</v>
      </c>
    </row>
    <row r="23" spans="1:6" x14ac:dyDescent="0.3">
      <c r="A23" t="s">
        <v>217</v>
      </c>
      <c r="B23" t="s">
        <v>294</v>
      </c>
      <c r="C23" s="13" t="s">
        <v>260</v>
      </c>
      <c r="D23" s="13" t="str">
        <f t="shared" si="0"/>
        <v>HABCMedicare Carrier Encounter Claims</v>
      </c>
      <c r="E23" s="13" t="s">
        <v>30</v>
      </c>
      <c r="F23" s="13" t="s">
        <v>30</v>
      </c>
    </row>
    <row r="24" spans="1:6" x14ac:dyDescent="0.3">
      <c r="A24" t="s">
        <v>217</v>
      </c>
      <c r="B24" t="s">
        <v>294</v>
      </c>
      <c r="C24" s="13" t="s">
        <v>261</v>
      </c>
      <c r="D24" s="13" t="str">
        <f t="shared" si="0"/>
        <v>HABCMedicare Durable Medical Equipment (DME) Encounter</v>
      </c>
      <c r="E24" s="13" t="s">
        <v>30</v>
      </c>
      <c r="F24" s="13" t="s">
        <v>30</v>
      </c>
    </row>
    <row r="25" spans="1:6" x14ac:dyDescent="0.3">
      <c r="A25" t="s">
        <v>217</v>
      </c>
      <c r="B25" t="s">
        <v>294</v>
      </c>
      <c r="C25" s="13" t="s">
        <v>262</v>
      </c>
      <c r="D25" s="13" t="str">
        <f t="shared" si="0"/>
        <v>HABCMedicare Home Health Agency (HH) Encounter Claims</v>
      </c>
      <c r="E25" s="13" t="s">
        <v>30</v>
      </c>
      <c r="F25" s="13" t="s">
        <v>30</v>
      </c>
    </row>
    <row r="26" spans="1:6" x14ac:dyDescent="0.3">
      <c r="A26" t="s">
        <v>217</v>
      </c>
      <c r="B26" t="s">
        <v>294</v>
      </c>
      <c r="C26" s="13" t="s">
        <v>263</v>
      </c>
      <c r="D26" s="13" t="str">
        <f t="shared" si="0"/>
        <v>HABCMedicare Inpatient (IP) Encounter Claims</v>
      </c>
      <c r="E26" s="13" t="s">
        <v>30</v>
      </c>
      <c r="F26" s="13" t="s">
        <v>30</v>
      </c>
    </row>
    <row r="27" spans="1:6" x14ac:dyDescent="0.3">
      <c r="A27" t="s">
        <v>217</v>
      </c>
      <c r="B27" t="s">
        <v>294</v>
      </c>
      <c r="C27" s="13" t="s">
        <v>264</v>
      </c>
      <c r="D27" s="13" t="str">
        <f t="shared" si="0"/>
        <v>HABCMedicare Outpatient (OP) Encounter Claims</v>
      </c>
      <c r="E27" s="13" t="s">
        <v>30</v>
      </c>
      <c r="F27" s="13" t="s">
        <v>30</v>
      </c>
    </row>
    <row r="28" spans="1:6" x14ac:dyDescent="0.3">
      <c r="A28" t="s">
        <v>217</v>
      </c>
      <c r="B28" t="s">
        <v>294</v>
      </c>
      <c r="C28" s="13" t="s">
        <v>265</v>
      </c>
      <c r="D28" s="13" t="str">
        <f t="shared" si="0"/>
        <v>HABCMedicare Skilled Nursing Facility (SNF) Encounter Claims</v>
      </c>
      <c r="E28" s="13" t="s">
        <v>30</v>
      </c>
      <c r="F28" s="13" t="s">
        <v>30</v>
      </c>
    </row>
    <row r="29" spans="1:6" x14ac:dyDescent="0.3">
      <c r="A29" t="s">
        <v>217</v>
      </c>
      <c r="B29" t="s">
        <v>266</v>
      </c>
      <c r="C29" s="13" t="s">
        <v>237</v>
      </c>
      <c r="D29" s="13" t="str">
        <f t="shared" si="0"/>
        <v>HABCMedicare Part D Medication Therapy Management (MTM)</v>
      </c>
      <c r="E29" s="13" t="s">
        <v>30</v>
      </c>
      <c r="F29" s="13" t="s">
        <v>30</v>
      </c>
    </row>
    <row r="30" spans="1:6" x14ac:dyDescent="0.3">
      <c r="A30" t="s">
        <v>217</v>
      </c>
      <c r="B30" t="s">
        <v>295</v>
      </c>
      <c r="C30" s="13" t="s">
        <v>243</v>
      </c>
      <c r="D30" s="13" t="str">
        <f t="shared" si="0"/>
        <v>HABCMedicaid Analytic eXtract (MAX) Inpatient (IP) Claims</v>
      </c>
      <c r="E30" s="13" t="s">
        <v>30</v>
      </c>
      <c r="F30" s="13" t="s">
        <v>30</v>
      </c>
    </row>
    <row r="31" spans="1:6" x14ac:dyDescent="0.3">
      <c r="A31" t="s">
        <v>217</v>
      </c>
      <c r="B31" t="s">
        <v>295</v>
      </c>
      <c r="C31" s="13" t="s">
        <v>244</v>
      </c>
      <c r="D31" s="13" t="str">
        <f t="shared" si="0"/>
        <v>HABCMedicaid Analytic eXtract (MAX) Long Term Care (LT) Claims</v>
      </c>
      <c r="E31" s="13" t="s">
        <v>30</v>
      </c>
      <c r="F31" s="13" t="s">
        <v>30</v>
      </c>
    </row>
    <row r="32" spans="1:6" x14ac:dyDescent="0.3">
      <c r="A32" t="s">
        <v>217</v>
      </c>
      <c r="B32" t="s">
        <v>295</v>
      </c>
      <c r="C32" s="13" t="s">
        <v>245</v>
      </c>
      <c r="D32" s="13" t="str">
        <f t="shared" si="0"/>
        <v>HABCMedicaid Analytic eXtract (MAX) Other Services (OT) Claims</v>
      </c>
      <c r="E32" s="13" t="s">
        <v>30</v>
      </c>
      <c r="F32" s="13" t="s">
        <v>30</v>
      </c>
    </row>
    <row r="33" spans="1:6" x14ac:dyDescent="0.3">
      <c r="A33" t="s">
        <v>217</v>
      </c>
      <c r="B33" t="s">
        <v>295</v>
      </c>
      <c r="C33" s="13" t="s">
        <v>248</v>
      </c>
      <c r="D33" s="13" t="str">
        <f t="shared" si="0"/>
        <v>HABCMedicaid Analytic eXtract (MAX) Prescription Drug (RX) Data</v>
      </c>
      <c r="E33" s="13" t="s">
        <v>30</v>
      </c>
      <c r="F33" s="13" t="s">
        <v>30</v>
      </c>
    </row>
    <row r="34" spans="1:6" x14ac:dyDescent="0.3">
      <c r="A34" t="s">
        <v>217</v>
      </c>
      <c r="B34" t="s">
        <v>295</v>
      </c>
      <c r="C34" s="13" t="s">
        <v>268</v>
      </c>
      <c r="D34" s="13" t="str">
        <f t="shared" si="0"/>
        <v>HABCTMSIS Analytic Files (TAF) Inpatient (IP) Claims</v>
      </c>
      <c r="E34" s="13" t="s">
        <v>30</v>
      </c>
      <c r="F34" s="13" t="s">
        <v>30</v>
      </c>
    </row>
    <row r="35" spans="1:6" x14ac:dyDescent="0.3">
      <c r="A35" t="s">
        <v>217</v>
      </c>
      <c r="B35" t="s">
        <v>295</v>
      </c>
      <c r="C35" s="13" t="s">
        <v>269</v>
      </c>
      <c r="D35" s="13" t="str">
        <f t="shared" si="0"/>
        <v>HABCTMSIS Analytic Files (TAF) Long Term Care (LT) Claims</v>
      </c>
      <c r="E35" s="13" t="s">
        <v>30</v>
      </c>
      <c r="F35" s="13" t="s">
        <v>30</v>
      </c>
    </row>
    <row r="36" spans="1:6" x14ac:dyDescent="0.3">
      <c r="A36" t="s">
        <v>217</v>
      </c>
      <c r="B36" t="s">
        <v>295</v>
      </c>
      <c r="C36" s="13" t="s">
        <v>270</v>
      </c>
      <c r="D36" s="13" t="str">
        <f t="shared" si="0"/>
        <v>HABCTMSIS Analytic Files (TAF) Other Services (OT) Claims</v>
      </c>
      <c r="E36" s="13" t="s">
        <v>30</v>
      </c>
      <c r="F36" s="13" t="s">
        <v>30</v>
      </c>
    </row>
    <row r="37" spans="1:6" x14ac:dyDescent="0.3">
      <c r="A37" t="s">
        <v>217</v>
      </c>
      <c r="B37" t="s">
        <v>295</v>
      </c>
      <c r="C37" s="13" t="s">
        <v>271</v>
      </c>
      <c r="D37" s="13" t="str">
        <f t="shared" si="0"/>
        <v>HABCTMSIS Analytic Files (TAF) Pharmacy (RX) Data</v>
      </c>
      <c r="E37" s="13" t="s">
        <v>30</v>
      </c>
      <c r="F37" s="13" t="s">
        <v>30</v>
      </c>
    </row>
    <row r="38" spans="1:6" x14ac:dyDescent="0.3">
      <c r="A38" t="s">
        <v>217</v>
      </c>
      <c r="B38" t="s">
        <v>266</v>
      </c>
      <c r="C38" s="13" t="s">
        <v>365</v>
      </c>
      <c r="D38" s="13" t="str">
        <f t="shared" si="0"/>
        <v>HABCPDE</v>
      </c>
      <c r="E38" s="13" t="s">
        <v>30</v>
      </c>
      <c r="F38" s="13" t="s">
        <v>30</v>
      </c>
    </row>
    <row r="39" spans="1:6" x14ac:dyDescent="0.3">
      <c r="A39" t="s">
        <v>217</v>
      </c>
      <c r="B39" t="s">
        <v>409</v>
      </c>
      <c r="C39" t="s">
        <v>299</v>
      </c>
      <c r="D39" s="13" t="str">
        <f t="shared" si="0"/>
        <v>HABCIRF-PAI</v>
      </c>
      <c r="E39" s="13" t="s">
        <v>30</v>
      </c>
      <c r="F39" s="13" t="s">
        <v>30</v>
      </c>
    </row>
    <row r="40" spans="1:6" x14ac:dyDescent="0.3">
      <c r="A40" t="s">
        <v>217</v>
      </c>
      <c r="B40" t="s">
        <v>409</v>
      </c>
      <c r="C40" t="s">
        <v>38</v>
      </c>
      <c r="D40" s="13" t="str">
        <f t="shared" si="0"/>
        <v>HABCMDS</v>
      </c>
      <c r="E40" s="13" t="s">
        <v>30</v>
      </c>
      <c r="F40" s="13" t="s">
        <v>30</v>
      </c>
    </row>
    <row r="41" spans="1:6" x14ac:dyDescent="0.3">
      <c r="A41" t="s">
        <v>217</v>
      </c>
      <c r="B41" t="s">
        <v>409</v>
      </c>
      <c r="C41" t="s">
        <v>357</v>
      </c>
      <c r="D41" s="13" t="str">
        <f t="shared" si="0"/>
        <v>HABCOASIS</v>
      </c>
      <c r="E41" s="13" t="s">
        <v>30</v>
      </c>
      <c r="F41" s="13" t="s">
        <v>30</v>
      </c>
    </row>
    <row r="42" spans="1:6" s="17" customFormat="1" x14ac:dyDescent="0.3">
      <c r="A42" s="17" t="s">
        <v>217</v>
      </c>
      <c r="B42" s="17" t="s">
        <v>687</v>
      </c>
      <c r="C42" s="17" t="s">
        <v>687</v>
      </c>
      <c r="D42" s="13" t="str">
        <f t="shared" si="0"/>
        <v>HABCHEDIS</v>
      </c>
      <c r="E42" s="13" t="s">
        <v>30</v>
      </c>
      <c r="F42" s="13" t="s">
        <v>30</v>
      </c>
    </row>
    <row r="43" spans="1:6" x14ac:dyDescent="0.3">
      <c r="A43" s="13" t="s">
        <v>108</v>
      </c>
      <c r="B43" t="s">
        <v>290</v>
      </c>
      <c r="C43" s="13" t="s">
        <v>83</v>
      </c>
      <c r="D43" s="13" t="str">
        <f t="shared" si="0"/>
        <v>HRSDenominator (DN)</v>
      </c>
      <c r="E43" s="13">
        <v>1991</v>
      </c>
      <c r="F43" s="13">
        <v>1998</v>
      </c>
    </row>
    <row r="44" spans="1:6" x14ac:dyDescent="0.3">
      <c r="A44" s="13" t="s">
        <v>108</v>
      </c>
      <c r="B44" t="s">
        <v>290</v>
      </c>
      <c r="C44" s="13" t="s">
        <v>283</v>
      </c>
      <c r="D44" s="13" t="str">
        <f t="shared" si="0"/>
        <v>HRSMaster Beneficiary Summary File (MBSF): Base – Segment (A/B/C/D)</v>
      </c>
      <c r="E44" s="13">
        <v>1999</v>
      </c>
      <c r="F44" s="13">
        <v>2022</v>
      </c>
    </row>
    <row r="45" spans="1:6" x14ac:dyDescent="0.3">
      <c r="A45" s="13" t="s">
        <v>108</v>
      </c>
      <c r="B45" t="s">
        <v>291</v>
      </c>
      <c r="C45" s="13" t="s">
        <v>284</v>
      </c>
      <c r="D45" s="13" t="str">
        <f t="shared" si="0"/>
        <v>HRSMaster Beneficiary Summary File (MBSF): Chronic Conditions</v>
      </c>
      <c r="E45" s="13">
        <v>1999</v>
      </c>
      <c r="F45" s="13">
        <v>2020</v>
      </c>
    </row>
    <row r="46" spans="1:6" x14ac:dyDescent="0.3">
      <c r="A46" s="13" t="s">
        <v>108</v>
      </c>
      <c r="B46" t="s">
        <v>291</v>
      </c>
      <c r="C46" s="13" t="s">
        <v>285</v>
      </c>
      <c r="D46" s="13" t="str">
        <f t="shared" si="0"/>
        <v>HRSMaster Beneficiary Summary File (MBSF): Cost &amp; Utilization</v>
      </c>
      <c r="E46" s="13">
        <v>1999</v>
      </c>
      <c r="F46" s="13">
        <v>2020</v>
      </c>
    </row>
    <row r="47" spans="1:6" x14ac:dyDescent="0.3">
      <c r="A47" s="13" t="s">
        <v>108</v>
      </c>
      <c r="B47" t="s">
        <v>291</v>
      </c>
      <c r="C47" s="13" t="s">
        <v>286</v>
      </c>
      <c r="D47" s="13" t="str">
        <f t="shared" si="0"/>
        <v xml:space="preserve">HRSMaster Beneficiary Summary File (MBSF): Other Chronic or Potentially Disabling Conditions </v>
      </c>
      <c r="E47" s="13">
        <v>2000</v>
      </c>
      <c r="F47" s="13">
        <v>2020</v>
      </c>
    </row>
    <row r="48" spans="1:6" x14ac:dyDescent="0.3">
      <c r="A48" s="13" t="s">
        <v>108</v>
      </c>
      <c r="B48" t="s">
        <v>292</v>
      </c>
      <c r="C48" s="13" t="s">
        <v>246</v>
      </c>
      <c r="D48" s="13" t="str">
        <f t="shared" si="0"/>
        <v>HRSMedicaid Analytic eXtract (MAX) Personal Summary (PS) Enrollment Data</v>
      </c>
      <c r="E48" s="13">
        <v>1999</v>
      </c>
      <c r="F48" s="13">
        <v>2015</v>
      </c>
    </row>
    <row r="49" spans="1:6" x14ac:dyDescent="0.3">
      <c r="A49" s="13" t="s">
        <v>108</v>
      </c>
      <c r="B49" t="s">
        <v>292</v>
      </c>
      <c r="C49" s="13" t="s">
        <v>267</v>
      </c>
      <c r="D49" s="13" t="str">
        <f t="shared" si="0"/>
        <v>HRSTMSIS Analytic Files (TAF) Demographic and Eligibility (DE) Enrollment Data</v>
      </c>
      <c r="E49" s="13">
        <v>2014</v>
      </c>
      <c r="F49" s="13">
        <v>2019</v>
      </c>
    </row>
    <row r="50" spans="1:6" x14ac:dyDescent="0.3">
      <c r="A50" s="13" t="s">
        <v>108</v>
      </c>
      <c r="B50" t="s">
        <v>293</v>
      </c>
      <c r="C50" s="13" t="s">
        <v>432</v>
      </c>
      <c r="D50" s="13" t="str">
        <f t="shared" si="0"/>
        <v>HRSMedicare Carrier (PB) Claims</v>
      </c>
      <c r="E50" s="13">
        <v>1991</v>
      </c>
      <c r="F50" s="13">
        <v>2022</v>
      </c>
    </row>
    <row r="51" spans="1:6" x14ac:dyDescent="0.3">
      <c r="A51" s="13" t="s">
        <v>108</v>
      </c>
      <c r="B51" t="s">
        <v>293</v>
      </c>
      <c r="C51" s="13" t="s">
        <v>433</v>
      </c>
      <c r="D51" s="13" t="str">
        <f t="shared" si="0"/>
        <v>HRSMedicare Durable Medical Equipment (DM) Claims</v>
      </c>
      <c r="E51" s="13">
        <v>1991</v>
      </c>
      <c r="F51" s="13">
        <v>2022</v>
      </c>
    </row>
    <row r="52" spans="1:6" x14ac:dyDescent="0.3">
      <c r="A52" s="13" t="s">
        <v>108</v>
      </c>
      <c r="B52" t="s">
        <v>293</v>
      </c>
      <c r="C52" s="13" t="s">
        <v>434</v>
      </c>
      <c r="D52" s="13" t="str">
        <f t="shared" si="0"/>
        <v>HRSMedicare Home Health (HH) Claims</v>
      </c>
      <c r="E52" s="13">
        <v>1991</v>
      </c>
      <c r="F52" s="13">
        <v>2022</v>
      </c>
    </row>
    <row r="53" spans="1:6" x14ac:dyDescent="0.3">
      <c r="A53" s="13" t="s">
        <v>108</v>
      </c>
      <c r="B53" t="s">
        <v>293</v>
      </c>
      <c r="C53" s="13" t="s">
        <v>435</v>
      </c>
      <c r="D53" s="13" t="str">
        <f t="shared" si="0"/>
        <v>HRSMedicare Hospice (HS) Claims</v>
      </c>
      <c r="E53" s="13">
        <v>1991</v>
      </c>
      <c r="F53" s="13">
        <v>2022</v>
      </c>
    </row>
    <row r="54" spans="1:6" x14ac:dyDescent="0.3">
      <c r="A54" s="13" t="s">
        <v>108</v>
      </c>
      <c r="B54" t="s">
        <v>293</v>
      </c>
      <c r="C54" s="13" t="s">
        <v>436</v>
      </c>
      <c r="D54" s="13" t="str">
        <f t="shared" si="0"/>
        <v>HRSMedicare Inpatient (IP) Claims</v>
      </c>
      <c r="E54" s="13">
        <v>1991</v>
      </c>
      <c r="F54" s="13">
        <v>2022</v>
      </c>
    </row>
    <row r="55" spans="1:6" x14ac:dyDescent="0.3">
      <c r="A55" s="13" t="s">
        <v>108</v>
      </c>
      <c r="B55" t="s">
        <v>293</v>
      </c>
      <c r="C55" s="13" t="s">
        <v>437</v>
      </c>
      <c r="D55" s="13" t="str">
        <f t="shared" si="0"/>
        <v>HRSMedicare Outpatient (OP) Claims</v>
      </c>
      <c r="E55" s="13">
        <v>1991</v>
      </c>
      <c r="F55" s="13">
        <v>2022</v>
      </c>
    </row>
    <row r="56" spans="1:6" x14ac:dyDescent="0.3">
      <c r="A56" s="13" t="s">
        <v>108</v>
      </c>
      <c r="B56" t="s">
        <v>293</v>
      </c>
      <c r="C56" s="13" t="s">
        <v>438</v>
      </c>
      <c r="D56" s="13" t="str">
        <f t="shared" si="0"/>
        <v>HRSMedicare Skilled Nursing Facility (SN) Claims</v>
      </c>
      <c r="E56" s="13">
        <v>1991</v>
      </c>
      <c r="F56" s="13">
        <v>2022</v>
      </c>
    </row>
    <row r="57" spans="1:6" x14ac:dyDescent="0.3">
      <c r="A57" s="13" t="s">
        <v>108</v>
      </c>
      <c r="B57" t="s">
        <v>293</v>
      </c>
      <c r="C57" s="13" t="s">
        <v>715</v>
      </c>
      <c r="D57" s="13" t="str">
        <f t="shared" si="0"/>
        <v>HRSLINKAGE-Built Medicare Provider Analysis &amp; Review (MedPAR)</v>
      </c>
      <c r="E57" s="13">
        <v>1991</v>
      </c>
      <c r="F57" s="13">
        <v>2020</v>
      </c>
    </row>
    <row r="58" spans="1:6" x14ac:dyDescent="0.3">
      <c r="A58" s="13" t="s">
        <v>108</v>
      </c>
      <c r="B58" t="s">
        <v>294</v>
      </c>
      <c r="C58" s="13" t="s">
        <v>260</v>
      </c>
      <c r="D58" s="13" t="str">
        <f t="shared" si="0"/>
        <v>HRSMedicare Carrier Encounter Claims</v>
      </c>
      <c r="E58" s="13">
        <v>2015</v>
      </c>
      <c r="F58" s="13">
        <v>2019</v>
      </c>
    </row>
    <row r="59" spans="1:6" x14ac:dyDescent="0.3">
      <c r="A59" s="13" t="s">
        <v>108</v>
      </c>
      <c r="B59" t="s">
        <v>294</v>
      </c>
      <c r="C59" s="13" t="s">
        <v>261</v>
      </c>
      <c r="D59" s="13" t="str">
        <f t="shared" si="0"/>
        <v>HRSMedicare Durable Medical Equipment (DME) Encounter</v>
      </c>
      <c r="E59" s="13">
        <v>2015</v>
      </c>
      <c r="F59" s="13">
        <v>2019</v>
      </c>
    </row>
    <row r="60" spans="1:6" x14ac:dyDescent="0.3">
      <c r="A60" s="13" t="s">
        <v>108</v>
      </c>
      <c r="B60" t="s">
        <v>294</v>
      </c>
      <c r="C60" s="13" t="s">
        <v>262</v>
      </c>
      <c r="D60" s="13" t="str">
        <f t="shared" si="0"/>
        <v>HRSMedicare Home Health Agency (HH) Encounter Claims</v>
      </c>
      <c r="E60" s="13">
        <v>2015</v>
      </c>
      <c r="F60" s="13">
        <v>2019</v>
      </c>
    </row>
    <row r="61" spans="1:6" x14ac:dyDescent="0.3">
      <c r="A61" s="13" t="s">
        <v>108</v>
      </c>
      <c r="B61" t="s">
        <v>294</v>
      </c>
      <c r="C61" s="13" t="s">
        <v>263</v>
      </c>
      <c r="D61" s="13" t="str">
        <f t="shared" si="0"/>
        <v>HRSMedicare Inpatient (IP) Encounter Claims</v>
      </c>
      <c r="E61" s="13">
        <v>2015</v>
      </c>
      <c r="F61" s="13">
        <v>2019</v>
      </c>
    </row>
    <row r="62" spans="1:6" x14ac:dyDescent="0.3">
      <c r="A62" s="13" t="s">
        <v>108</v>
      </c>
      <c r="B62" t="s">
        <v>294</v>
      </c>
      <c r="C62" s="13" t="s">
        <v>264</v>
      </c>
      <c r="D62" s="13" t="str">
        <f t="shared" si="0"/>
        <v>HRSMedicare Outpatient (OP) Encounter Claims</v>
      </c>
      <c r="E62" s="13">
        <v>2015</v>
      </c>
      <c r="F62" s="13">
        <v>2019</v>
      </c>
    </row>
    <row r="63" spans="1:6" x14ac:dyDescent="0.3">
      <c r="A63" s="13" t="s">
        <v>108</v>
      </c>
      <c r="B63" t="s">
        <v>294</v>
      </c>
      <c r="C63" s="13" t="s">
        <v>265</v>
      </c>
      <c r="D63" s="13" t="str">
        <f t="shared" si="0"/>
        <v>HRSMedicare Skilled Nursing Facility (SNF) Encounter Claims</v>
      </c>
      <c r="E63" s="13">
        <v>2015</v>
      </c>
      <c r="F63" s="13">
        <v>2019</v>
      </c>
    </row>
    <row r="64" spans="1:6" x14ac:dyDescent="0.3">
      <c r="A64" s="13" t="s">
        <v>108</v>
      </c>
      <c r="B64" t="s">
        <v>266</v>
      </c>
      <c r="C64" s="13" t="s">
        <v>237</v>
      </c>
      <c r="D64" s="13" t="str">
        <f t="shared" si="0"/>
        <v>HRSMedicare Part D Medication Therapy Management (MTM)</v>
      </c>
      <c r="E64" s="13">
        <v>2013</v>
      </c>
      <c r="F64" s="13">
        <v>2019</v>
      </c>
    </row>
    <row r="65" spans="1:6" x14ac:dyDescent="0.3">
      <c r="A65" s="13" t="s">
        <v>108</v>
      </c>
      <c r="B65" t="s">
        <v>295</v>
      </c>
      <c r="C65" s="13" t="s">
        <v>243</v>
      </c>
      <c r="D65" s="13" t="str">
        <f t="shared" si="0"/>
        <v>HRSMedicaid Analytic eXtract (MAX) Inpatient (IP) Claims</v>
      </c>
      <c r="E65" s="13">
        <v>1999</v>
      </c>
      <c r="F65" s="13">
        <v>2015</v>
      </c>
    </row>
    <row r="66" spans="1:6" x14ac:dyDescent="0.3">
      <c r="A66" s="13" t="s">
        <v>108</v>
      </c>
      <c r="B66" t="s">
        <v>295</v>
      </c>
      <c r="C66" s="13" t="s">
        <v>244</v>
      </c>
      <c r="D66" s="13" t="str">
        <f t="shared" si="0"/>
        <v>HRSMedicaid Analytic eXtract (MAX) Long Term Care (LT) Claims</v>
      </c>
      <c r="E66" s="13">
        <v>1999</v>
      </c>
      <c r="F66" s="13">
        <v>2015</v>
      </c>
    </row>
    <row r="67" spans="1:6" x14ac:dyDescent="0.3">
      <c r="A67" s="13" t="s">
        <v>108</v>
      </c>
      <c r="B67" t="s">
        <v>295</v>
      </c>
      <c r="C67" s="13" t="s">
        <v>245</v>
      </c>
      <c r="D67" s="13" t="str">
        <f t="shared" si="0"/>
        <v>HRSMedicaid Analytic eXtract (MAX) Other Services (OT) Claims</v>
      </c>
      <c r="E67" s="13">
        <v>1999</v>
      </c>
      <c r="F67" s="13">
        <v>2015</v>
      </c>
    </row>
    <row r="68" spans="1:6" x14ac:dyDescent="0.3">
      <c r="A68" s="13" t="s">
        <v>108</v>
      </c>
      <c r="B68" t="s">
        <v>295</v>
      </c>
      <c r="C68" s="13" t="s">
        <v>248</v>
      </c>
      <c r="D68" s="13" t="str">
        <f t="shared" si="0"/>
        <v>HRSMedicaid Analytic eXtract (MAX) Prescription Drug (RX) Data</v>
      </c>
      <c r="E68" s="13">
        <v>1999</v>
      </c>
      <c r="F68" s="13">
        <v>2015</v>
      </c>
    </row>
    <row r="69" spans="1:6" x14ac:dyDescent="0.3">
      <c r="A69" s="13" t="s">
        <v>108</v>
      </c>
      <c r="B69" t="s">
        <v>295</v>
      </c>
      <c r="C69" s="13" t="s">
        <v>268</v>
      </c>
      <c r="D69" s="13" t="str">
        <f t="shared" si="0"/>
        <v>HRSTMSIS Analytic Files (TAF) Inpatient (IP) Claims</v>
      </c>
      <c r="E69" s="13">
        <v>2014</v>
      </c>
      <c r="F69" s="13">
        <v>2019</v>
      </c>
    </row>
    <row r="70" spans="1:6" x14ac:dyDescent="0.3">
      <c r="A70" s="13" t="s">
        <v>108</v>
      </c>
      <c r="B70" t="s">
        <v>295</v>
      </c>
      <c r="C70" s="13" t="s">
        <v>269</v>
      </c>
      <c r="D70" s="13" t="str">
        <f t="shared" si="0"/>
        <v>HRSTMSIS Analytic Files (TAF) Long Term Care (LT) Claims</v>
      </c>
      <c r="E70" s="13">
        <v>2014</v>
      </c>
      <c r="F70" s="13">
        <v>2019</v>
      </c>
    </row>
    <row r="71" spans="1:6" x14ac:dyDescent="0.3">
      <c r="A71" s="13" t="s">
        <v>108</v>
      </c>
      <c r="B71" t="s">
        <v>295</v>
      </c>
      <c r="C71" s="13" t="s">
        <v>270</v>
      </c>
      <c r="D71" s="13" t="str">
        <f t="shared" si="0"/>
        <v>HRSTMSIS Analytic Files (TAF) Other Services (OT) Claims</v>
      </c>
      <c r="E71" s="13">
        <v>2014</v>
      </c>
      <c r="F71" s="13">
        <v>2019</v>
      </c>
    </row>
    <row r="72" spans="1:6" x14ac:dyDescent="0.3">
      <c r="A72" s="13" t="s">
        <v>108</v>
      </c>
      <c r="B72" t="s">
        <v>295</v>
      </c>
      <c r="C72" s="13" t="s">
        <v>271</v>
      </c>
      <c r="D72" s="13" t="str">
        <f t="shared" si="0"/>
        <v>HRSTMSIS Analytic Files (TAF) Pharmacy (RX) Data</v>
      </c>
      <c r="E72" s="13">
        <v>2014</v>
      </c>
      <c r="F72" s="13">
        <v>2019</v>
      </c>
    </row>
    <row r="73" spans="1:6" x14ac:dyDescent="0.3">
      <c r="A73" s="13" t="s">
        <v>108</v>
      </c>
      <c r="B73" t="s">
        <v>266</v>
      </c>
      <c r="C73" s="13" t="s">
        <v>365</v>
      </c>
      <c r="D73" s="13" t="str">
        <f t="shared" si="0"/>
        <v>HRSPDE</v>
      </c>
      <c r="E73">
        <v>2006</v>
      </c>
      <c r="F73">
        <v>2022</v>
      </c>
    </row>
    <row r="74" spans="1:6" x14ac:dyDescent="0.3">
      <c r="A74" s="13" t="s">
        <v>108</v>
      </c>
      <c r="B74" t="s">
        <v>409</v>
      </c>
      <c r="C74" t="s">
        <v>299</v>
      </c>
      <c r="D74" s="13" t="str">
        <f t="shared" ref="D74:D139" si="1">CONCATENATE(A74,C74)</f>
        <v>HRSIRF-PAI</v>
      </c>
      <c r="E74">
        <v>2002</v>
      </c>
      <c r="F74">
        <v>2020</v>
      </c>
    </row>
    <row r="75" spans="1:6" x14ac:dyDescent="0.3">
      <c r="A75" s="13" t="s">
        <v>108</v>
      </c>
      <c r="B75" t="s">
        <v>409</v>
      </c>
      <c r="C75" t="s">
        <v>38</v>
      </c>
      <c r="D75" s="13" t="str">
        <f t="shared" si="1"/>
        <v>HRSMDS</v>
      </c>
      <c r="E75">
        <v>1999</v>
      </c>
      <c r="F75">
        <v>2022</v>
      </c>
    </row>
    <row r="76" spans="1:6" x14ac:dyDescent="0.3">
      <c r="A76" s="13" t="s">
        <v>108</v>
      </c>
      <c r="B76" t="s">
        <v>409</v>
      </c>
      <c r="C76" t="s">
        <v>357</v>
      </c>
      <c r="D76" s="13" t="str">
        <f t="shared" si="1"/>
        <v>HRSOASIS</v>
      </c>
      <c r="E76">
        <v>1999</v>
      </c>
      <c r="F76">
        <v>2020</v>
      </c>
    </row>
    <row r="77" spans="1:6" s="17" customFormat="1" x14ac:dyDescent="0.3">
      <c r="A77" s="13" t="s">
        <v>108</v>
      </c>
      <c r="B77" s="17" t="s">
        <v>687</v>
      </c>
      <c r="C77" s="17" t="s">
        <v>687</v>
      </c>
      <c r="D77" s="13" t="str">
        <f t="shared" si="1"/>
        <v>HRSHEDIS</v>
      </c>
      <c r="E77" s="13" t="s">
        <v>30</v>
      </c>
      <c r="F77" s="13" t="s">
        <v>30</v>
      </c>
    </row>
    <row r="78" spans="1:6" x14ac:dyDescent="0.3">
      <c r="A78" s="13" t="s">
        <v>39</v>
      </c>
      <c r="B78" t="s">
        <v>290</v>
      </c>
      <c r="C78" s="13" t="s">
        <v>83</v>
      </c>
      <c r="D78" s="13" t="str">
        <f t="shared" si="1"/>
        <v>PSADDenominator (DN)</v>
      </c>
      <c r="E78" s="13" t="s">
        <v>30</v>
      </c>
      <c r="F78" s="13" t="s">
        <v>30</v>
      </c>
    </row>
    <row r="79" spans="1:6" x14ac:dyDescent="0.3">
      <c r="A79" s="13" t="s">
        <v>39</v>
      </c>
      <c r="B79" t="s">
        <v>290</v>
      </c>
      <c r="C79" s="13" t="s">
        <v>283</v>
      </c>
      <c r="D79" s="13" t="str">
        <f t="shared" si="1"/>
        <v>PSADMaster Beneficiary Summary File (MBSF): Base – Segment (A/B/C/D)</v>
      </c>
      <c r="E79" s="13">
        <v>2011</v>
      </c>
      <c r="F79" s="13">
        <v>2016</v>
      </c>
    </row>
    <row r="80" spans="1:6" x14ac:dyDescent="0.3">
      <c r="A80" s="13" t="s">
        <v>39</v>
      </c>
      <c r="B80" t="s">
        <v>291</v>
      </c>
      <c r="C80" s="13" t="s">
        <v>284</v>
      </c>
      <c r="D80" s="13" t="str">
        <f t="shared" si="1"/>
        <v>PSADMaster Beneficiary Summary File (MBSF): Chronic Conditions</v>
      </c>
      <c r="E80" s="13" t="s">
        <v>30</v>
      </c>
      <c r="F80" s="13" t="s">
        <v>30</v>
      </c>
    </row>
    <row r="81" spans="1:6" x14ac:dyDescent="0.3">
      <c r="A81" s="13" t="s">
        <v>39</v>
      </c>
      <c r="B81" t="s">
        <v>291</v>
      </c>
      <c r="C81" s="13" t="s">
        <v>285</v>
      </c>
      <c r="D81" s="13" t="str">
        <f t="shared" si="1"/>
        <v>PSADMaster Beneficiary Summary File (MBSF): Cost &amp; Utilization</v>
      </c>
      <c r="E81" s="13" t="s">
        <v>30</v>
      </c>
      <c r="F81" s="13" t="s">
        <v>30</v>
      </c>
    </row>
    <row r="82" spans="1:6" x14ac:dyDescent="0.3">
      <c r="A82" s="13" t="s">
        <v>39</v>
      </c>
      <c r="B82" t="s">
        <v>291</v>
      </c>
      <c r="C82" s="13" t="s">
        <v>286</v>
      </c>
      <c r="D82" s="13" t="str">
        <f t="shared" si="1"/>
        <v xml:space="preserve">PSADMaster Beneficiary Summary File (MBSF): Other Chronic or Potentially Disabling Conditions </v>
      </c>
      <c r="E82" s="13" t="s">
        <v>30</v>
      </c>
      <c r="F82" s="13" t="s">
        <v>30</v>
      </c>
    </row>
    <row r="83" spans="1:6" x14ac:dyDescent="0.3">
      <c r="A83" s="13" t="s">
        <v>39</v>
      </c>
      <c r="B83" t="s">
        <v>292</v>
      </c>
      <c r="C83" s="13" t="s">
        <v>246</v>
      </c>
      <c r="D83" s="13" t="str">
        <f t="shared" si="1"/>
        <v>PSADMedicaid Analytic eXtract (MAX) Personal Summary (PS) Enrollment Data</v>
      </c>
      <c r="E83" s="13" t="s">
        <v>30</v>
      </c>
      <c r="F83" s="13" t="s">
        <v>30</v>
      </c>
    </row>
    <row r="84" spans="1:6" x14ac:dyDescent="0.3">
      <c r="A84" s="13" t="s">
        <v>39</v>
      </c>
      <c r="B84" t="s">
        <v>292</v>
      </c>
      <c r="C84" s="13" t="s">
        <v>267</v>
      </c>
      <c r="D84" s="13" t="str">
        <f t="shared" si="1"/>
        <v>PSADTMSIS Analytic Files (TAF) Demographic and Eligibility (DE) Enrollment Data</v>
      </c>
      <c r="E84" s="13" t="s">
        <v>30</v>
      </c>
      <c r="F84" s="13" t="s">
        <v>30</v>
      </c>
    </row>
    <row r="85" spans="1:6" x14ac:dyDescent="0.3">
      <c r="A85" s="13" t="s">
        <v>39</v>
      </c>
      <c r="B85" t="s">
        <v>293</v>
      </c>
      <c r="C85" s="13" t="s">
        <v>432</v>
      </c>
      <c r="D85" s="13" t="str">
        <f t="shared" si="1"/>
        <v>PSADMedicare Carrier (PB) Claims</v>
      </c>
      <c r="E85" s="13">
        <v>2011</v>
      </c>
      <c r="F85" s="13">
        <v>2016</v>
      </c>
    </row>
    <row r="86" spans="1:6" x14ac:dyDescent="0.3">
      <c r="A86" s="13" t="s">
        <v>39</v>
      </c>
      <c r="B86" t="s">
        <v>293</v>
      </c>
      <c r="C86" s="13" t="s">
        <v>433</v>
      </c>
      <c r="D86" s="13" t="str">
        <f t="shared" si="1"/>
        <v>PSADMedicare Durable Medical Equipment (DM) Claims</v>
      </c>
      <c r="E86" s="13">
        <v>2011</v>
      </c>
      <c r="F86" s="13">
        <v>2016</v>
      </c>
    </row>
    <row r="87" spans="1:6" x14ac:dyDescent="0.3">
      <c r="A87" s="13" t="s">
        <v>39</v>
      </c>
      <c r="B87" t="s">
        <v>293</v>
      </c>
      <c r="C87" s="13" t="s">
        <v>434</v>
      </c>
      <c r="D87" s="13" t="str">
        <f t="shared" si="1"/>
        <v>PSADMedicare Home Health (HH) Claims</v>
      </c>
      <c r="E87" s="13">
        <v>2011</v>
      </c>
      <c r="F87" s="13">
        <v>2016</v>
      </c>
    </row>
    <row r="88" spans="1:6" x14ac:dyDescent="0.3">
      <c r="A88" s="13" t="s">
        <v>39</v>
      </c>
      <c r="B88" t="s">
        <v>293</v>
      </c>
      <c r="C88" s="13" t="s">
        <v>435</v>
      </c>
      <c r="D88" s="13" t="str">
        <f t="shared" si="1"/>
        <v>PSADMedicare Hospice (HS) Claims</v>
      </c>
      <c r="E88" s="13">
        <v>2011</v>
      </c>
      <c r="F88" s="13">
        <v>2016</v>
      </c>
    </row>
    <row r="89" spans="1:6" x14ac:dyDescent="0.3">
      <c r="A89" s="13" t="s">
        <v>39</v>
      </c>
      <c r="B89" t="s">
        <v>293</v>
      </c>
      <c r="C89" s="13" t="s">
        <v>436</v>
      </c>
      <c r="D89" s="13" t="str">
        <f t="shared" si="1"/>
        <v>PSADMedicare Inpatient (IP) Claims</v>
      </c>
      <c r="E89" s="13">
        <v>2011</v>
      </c>
      <c r="F89" s="13">
        <v>2016</v>
      </c>
    </row>
    <row r="90" spans="1:6" x14ac:dyDescent="0.3">
      <c r="A90" s="13" t="s">
        <v>39</v>
      </c>
      <c r="B90" t="s">
        <v>293</v>
      </c>
      <c r="C90" s="13" t="s">
        <v>437</v>
      </c>
      <c r="D90" s="13" t="str">
        <f t="shared" si="1"/>
        <v>PSADMedicare Outpatient (OP) Claims</v>
      </c>
      <c r="E90" s="13">
        <v>2011</v>
      </c>
      <c r="F90" s="13">
        <v>2016</v>
      </c>
    </row>
    <row r="91" spans="1:6" x14ac:dyDescent="0.3">
      <c r="A91" s="13" t="s">
        <v>39</v>
      </c>
      <c r="B91" t="s">
        <v>293</v>
      </c>
      <c r="C91" s="13" t="s">
        <v>438</v>
      </c>
      <c r="D91" s="13" t="str">
        <f t="shared" si="1"/>
        <v>PSADMedicare Skilled Nursing Facility (SN) Claims</v>
      </c>
      <c r="E91" s="13">
        <v>2011</v>
      </c>
      <c r="F91" s="13">
        <v>2016</v>
      </c>
    </row>
    <row r="92" spans="1:6" x14ac:dyDescent="0.3">
      <c r="A92" s="13" t="s">
        <v>39</v>
      </c>
      <c r="B92" t="s">
        <v>293</v>
      </c>
      <c r="C92" s="13" t="s">
        <v>715</v>
      </c>
      <c r="D92" s="13" t="str">
        <f t="shared" si="1"/>
        <v>PSADLINKAGE-Built Medicare Provider Analysis &amp; Review (MedPAR)</v>
      </c>
      <c r="E92" s="13" t="s">
        <v>30</v>
      </c>
      <c r="F92" s="13" t="s">
        <v>30</v>
      </c>
    </row>
    <row r="93" spans="1:6" x14ac:dyDescent="0.3">
      <c r="A93" s="13" t="s">
        <v>39</v>
      </c>
      <c r="B93" t="s">
        <v>294</v>
      </c>
      <c r="C93" s="13" t="s">
        <v>260</v>
      </c>
      <c r="D93" s="13" t="str">
        <f t="shared" si="1"/>
        <v>PSADMedicare Carrier Encounter Claims</v>
      </c>
      <c r="E93" s="13" t="s">
        <v>30</v>
      </c>
      <c r="F93" s="13" t="s">
        <v>30</v>
      </c>
    </row>
    <row r="94" spans="1:6" x14ac:dyDescent="0.3">
      <c r="A94" s="13" t="s">
        <v>39</v>
      </c>
      <c r="B94" t="s">
        <v>294</v>
      </c>
      <c r="C94" s="13" t="s">
        <v>261</v>
      </c>
      <c r="D94" s="13" t="str">
        <f t="shared" si="1"/>
        <v>PSADMedicare Durable Medical Equipment (DME) Encounter</v>
      </c>
      <c r="E94" s="13" t="s">
        <v>30</v>
      </c>
      <c r="F94" s="13" t="s">
        <v>30</v>
      </c>
    </row>
    <row r="95" spans="1:6" x14ac:dyDescent="0.3">
      <c r="A95" s="13" t="s">
        <v>39</v>
      </c>
      <c r="B95" t="s">
        <v>294</v>
      </c>
      <c r="C95" s="13" t="s">
        <v>262</v>
      </c>
      <c r="D95" s="13" t="str">
        <f t="shared" si="1"/>
        <v>PSADMedicare Home Health Agency (HH) Encounter Claims</v>
      </c>
      <c r="E95" s="13" t="s">
        <v>30</v>
      </c>
      <c r="F95" s="13" t="s">
        <v>30</v>
      </c>
    </row>
    <row r="96" spans="1:6" x14ac:dyDescent="0.3">
      <c r="A96" s="13" t="s">
        <v>39</v>
      </c>
      <c r="B96" t="s">
        <v>294</v>
      </c>
      <c r="C96" s="13" t="s">
        <v>263</v>
      </c>
      <c r="D96" s="13" t="str">
        <f t="shared" si="1"/>
        <v>PSADMedicare Inpatient (IP) Encounter Claims</v>
      </c>
      <c r="E96" s="13" t="s">
        <v>30</v>
      </c>
      <c r="F96" s="13" t="s">
        <v>30</v>
      </c>
    </row>
    <row r="97" spans="1:6" x14ac:dyDescent="0.3">
      <c r="A97" s="13" t="s">
        <v>39</v>
      </c>
      <c r="B97" t="s">
        <v>294</v>
      </c>
      <c r="C97" s="13" t="s">
        <v>264</v>
      </c>
      <c r="D97" s="13" t="str">
        <f t="shared" si="1"/>
        <v>PSADMedicare Outpatient (OP) Encounter Claims</v>
      </c>
      <c r="E97" s="13" t="s">
        <v>30</v>
      </c>
      <c r="F97" s="13" t="s">
        <v>30</v>
      </c>
    </row>
    <row r="98" spans="1:6" x14ac:dyDescent="0.3">
      <c r="A98" s="13" t="s">
        <v>39</v>
      </c>
      <c r="B98" t="s">
        <v>294</v>
      </c>
      <c r="C98" s="13" t="s">
        <v>265</v>
      </c>
      <c r="D98" s="13" t="str">
        <f t="shared" si="1"/>
        <v>PSADMedicare Skilled Nursing Facility (SNF) Encounter Claims</v>
      </c>
      <c r="E98" s="13" t="s">
        <v>30</v>
      </c>
      <c r="F98" s="13" t="s">
        <v>30</v>
      </c>
    </row>
    <row r="99" spans="1:6" x14ac:dyDescent="0.3">
      <c r="A99" s="13" t="s">
        <v>39</v>
      </c>
      <c r="B99" t="s">
        <v>266</v>
      </c>
      <c r="C99" s="13" t="s">
        <v>237</v>
      </c>
      <c r="D99" s="13" t="str">
        <f t="shared" si="1"/>
        <v>PSADMedicare Part D Medication Therapy Management (MTM)</v>
      </c>
      <c r="E99" s="13" t="s">
        <v>30</v>
      </c>
      <c r="F99" s="13" t="s">
        <v>30</v>
      </c>
    </row>
    <row r="100" spans="1:6" x14ac:dyDescent="0.3">
      <c r="A100" s="13" t="s">
        <v>39</v>
      </c>
      <c r="B100" t="s">
        <v>295</v>
      </c>
      <c r="C100" s="13" t="s">
        <v>243</v>
      </c>
      <c r="D100" s="13" t="str">
        <f t="shared" si="1"/>
        <v>PSADMedicaid Analytic eXtract (MAX) Inpatient (IP) Claims</v>
      </c>
      <c r="E100" s="13" t="s">
        <v>30</v>
      </c>
      <c r="F100" s="13" t="s">
        <v>30</v>
      </c>
    </row>
    <row r="101" spans="1:6" x14ac:dyDescent="0.3">
      <c r="A101" s="13" t="s">
        <v>39</v>
      </c>
      <c r="B101" t="s">
        <v>295</v>
      </c>
      <c r="C101" s="13" t="s">
        <v>244</v>
      </c>
      <c r="D101" s="13" t="str">
        <f t="shared" si="1"/>
        <v>PSADMedicaid Analytic eXtract (MAX) Long Term Care (LT) Claims</v>
      </c>
      <c r="E101" s="13" t="s">
        <v>30</v>
      </c>
      <c r="F101" s="13" t="s">
        <v>30</v>
      </c>
    </row>
    <row r="102" spans="1:6" x14ac:dyDescent="0.3">
      <c r="A102" s="13" t="s">
        <v>39</v>
      </c>
      <c r="B102" t="s">
        <v>295</v>
      </c>
      <c r="C102" s="13" t="s">
        <v>245</v>
      </c>
      <c r="D102" s="13" t="str">
        <f t="shared" si="1"/>
        <v>PSADMedicaid Analytic eXtract (MAX) Other Services (OT) Claims</v>
      </c>
      <c r="E102" s="13" t="s">
        <v>30</v>
      </c>
      <c r="F102" s="13" t="s">
        <v>30</v>
      </c>
    </row>
    <row r="103" spans="1:6" x14ac:dyDescent="0.3">
      <c r="A103" s="13" t="s">
        <v>39</v>
      </c>
      <c r="B103" t="s">
        <v>295</v>
      </c>
      <c r="C103" s="13" t="s">
        <v>248</v>
      </c>
      <c r="D103" s="13" t="str">
        <f t="shared" si="1"/>
        <v>PSADMedicaid Analytic eXtract (MAX) Prescription Drug (RX) Data</v>
      </c>
      <c r="E103" s="13" t="s">
        <v>30</v>
      </c>
      <c r="F103" s="13" t="s">
        <v>30</v>
      </c>
    </row>
    <row r="104" spans="1:6" x14ac:dyDescent="0.3">
      <c r="A104" s="13" t="s">
        <v>39</v>
      </c>
      <c r="B104" t="s">
        <v>295</v>
      </c>
      <c r="C104" s="13" t="s">
        <v>268</v>
      </c>
      <c r="D104" s="13" t="str">
        <f t="shared" si="1"/>
        <v>PSADTMSIS Analytic Files (TAF) Inpatient (IP) Claims</v>
      </c>
      <c r="E104" s="13" t="s">
        <v>30</v>
      </c>
      <c r="F104" s="13" t="s">
        <v>30</v>
      </c>
    </row>
    <row r="105" spans="1:6" x14ac:dyDescent="0.3">
      <c r="A105" s="13" t="s">
        <v>39</v>
      </c>
      <c r="B105" t="s">
        <v>295</v>
      </c>
      <c r="C105" s="13" t="s">
        <v>269</v>
      </c>
      <c r="D105" s="13" t="str">
        <f t="shared" si="1"/>
        <v>PSADTMSIS Analytic Files (TAF) Long Term Care (LT) Claims</v>
      </c>
      <c r="E105" s="13" t="s">
        <v>30</v>
      </c>
      <c r="F105" s="13" t="s">
        <v>30</v>
      </c>
    </row>
    <row r="106" spans="1:6" x14ac:dyDescent="0.3">
      <c r="A106" s="13" t="s">
        <v>39</v>
      </c>
      <c r="B106" t="s">
        <v>295</v>
      </c>
      <c r="C106" s="13" t="s">
        <v>270</v>
      </c>
      <c r="D106" s="13" t="str">
        <f t="shared" si="1"/>
        <v>PSADTMSIS Analytic Files (TAF) Other Services (OT) Claims</v>
      </c>
      <c r="E106" s="13" t="s">
        <v>30</v>
      </c>
      <c r="F106" s="13" t="s">
        <v>30</v>
      </c>
    </row>
    <row r="107" spans="1:6" x14ac:dyDescent="0.3">
      <c r="A107" s="13" t="s">
        <v>39</v>
      </c>
      <c r="B107" t="s">
        <v>295</v>
      </c>
      <c r="C107" s="13" t="s">
        <v>271</v>
      </c>
      <c r="D107" s="13" t="str">
        <f t="shared" si="1"/>
        <v>PSADTMSIS Analytic Files (TAF) Pharmacy (RX) Data</v>
      </c>
      <c r="E107" s="13" t="s">
        <v>30</v>
      </c>
      <c r="F107" s="13" t="s">
        <v>30</v>
      </c>
    </row>
    <row r="108" spans="1:6" x14ac:dyDescent="0.3">
      <c r="A108" s="13" t="s">
        <v>39</v>
      </c>
      <c r="B108" t="s">
        <v>266</v>
      </c>
      <c r="C108" s="13" t="s">
        <v>365</v>
      </c>
      <c r="D108" s="13" t="str">
        <f t="shared" si="1"/>
        <v>PSADPDE</v>
      </c>
      <c r="E108">
        <v>2006</v>
      </c>
      <c r="F108">
        <v>2016</v>
      </c>
    </row>
    <row r="109" spans="1:6" x14ac:dyDescent="0.3">
      <c r="A109" s="13" t="s">
        <v>39</v>
      </c>
      <c r="B109" t="s">
        <v>409</v>
      </c>
      <c r="C109" t="s">
        <v>299</v>
      </c>
      <c r="D109" s="13" t="str">
        <f t="shared" si="1"/>
        <v>PSADIRF-PAI</v>
      </c>
      <c r="E109" s="13" t="s">
        <v>30</v>
      </c>
      <c r="F109" s="13" t="s">
        <v>30</v>
      </c>
    </row>
    <row r="110" spans="1:6" x14ac:dyDescent="0.3">
      <c r="A110" s="13" t="s">
        <v>39</v>
      </c>
      <c r="B110" t="s">
        <v>409</v>
      </c>
      <c r="C110" t="s">
        <v>38</v>
      </c>
      <c r="D110" s="13" t="str">
        <f t="shared" si="1"/>
        <v>PSADMDS</v>
      </c>
      <c r="E110" s="13" t="s">
        <v>30</v>
      </c>
      <c r="F110" s="13" t="s">
        <v>30</v>
      </c>
    </row>
    <row r="111" spans="1:6" x14ac:dyDescent="0.3">
      <c r="A111" s="13" t="s">
        <v>39</v>
      </c>
      <c r="B111" t="s">
        <v>409</v>
      </c>
      <c r="C111" t="s">
        <v>357</v>
      </c>
      <c r="D111" s="13" t="str">
        <f t="shared" si="1"/>
        <v>PSADOASIS</v>
      </c>
      <c r="E111" s="13" t="s">
        <v>30</v>
      </c>
      <c r="F111" s="13" t="s">
        <v>30</v>
      </c>
    </row>
    <row r="112" spans="1:6" s="17" customFormat="1" x14ac:dyDescent="0.3">
      <c r="A112" s="13" t="s">
        <v>39</v>
      </c>
      <c r="B112" s="17" t="s">
        <v>687</v>
      </c>
      <c r="C112" s="17" t="s">
        <v>687</v>
      </c>
      <c r="D112" s="13" t="str">
        <f t="shared" si="1"/>
        <v>PSADHEDIS</v>
      </c>
      <c r="E112" s="13" t="s">
        <v>30</v>
      </c>
      <c r="F112" s="13" t="s">
        <v>30</v>
      </c>
    </row>
    <row r="113" spans="1:6" x14ac:dyDescent="0.3">
      <c r="A113" s="13" t="s">
        <v>222</v>
      </c>
      <c r="B113" t="s">
        <v>290</v>
      </c>
      <c r="C113" s="13" t="s">
        <v>83</v>
      </c>
      <c r="D113" s="13" t="str">
        <f t="shared" si="1"/>
        <v>PTDenominator (DN)</v>
      </c>
      <c r="E113" s="13" t="s">
        <v>30</v>
      </c>
      <c r="F113" s="13" t="s">
        <v>30</v>
      </c>
    </row>
    <row r="114" spans="1:6" x14ac:dyDescent="0.3">
      <c r="A114" s="13" t="s">
        <v>222</v>
      </c>
      <c r="B114" t="s">
        <v>290</v>
      </c>
      <c r="C114" s="13" t="s">
        <v>283</v>
      </c>
      <c r="D114" s="13" t="str">
        <f t="shared" si="1"/>
        <v>PTMaster Beneficiary Summary File (MBSF): Base – Segment (A/B/C/D)</v>
      </c>
      <c r="E114" s="13">
        <v>2005</v>
      </c>
      <c r="F114" s="13">
        <v>2018</v>
      </c>
    </row>
    <row r="115" spans="1:6" x14ac:dyDescent="0.3">
      <c r="A115" s="13" t="s">
        <v>222</v>
      </c>
      <c r="B115" t="s">
        <v>291</v>
      </c>
      <c r="C115" s="13" t="s">
        <v>284</v>
      </c>
      <c r="D115" s="13" t="str">
        <f t="shared" si="1"/>
        <v>PTMaster Beneficiary Summary File (MBSF): Chronic Conditions</v>
      </c>
      <c r="E115" s="13" t="s">
        <v>30</v>
      </c>
      <c r="F115" s="13" t="s">
        <v>30</v>
      </c>
    </row>
    <row r="116" spans="1:6" x14ac:dyDescent="0.3">
      <c r="A116" s="13" t="s">
        <v>222</v>
      </c>
      <c r="B116" t="s">
        <v>291</v>
      </c>
      <c r="C116" s="13" t="s">
        <v>285</v>
      </c>
      <c r="D116" s="13" t="str">
        <f t="shared" si="1"/>
        <v>PTMaster Beneficiary Summary File (MBSF): Cost &amp; Utilization</v>
      </c>
      <c r="E116" s="13" t="s">
        <v>30</v>
      </c>
      <c r="F116" s="13" t="s">
        <v>30</v>
      </c>
    </row>
    <row r="117" spans="1:6" x14ac:dyDescent="0.3">
      <c r="A117" s="13" t="s">
        <v>222</v>
      </c>
      <c r="B117" t="s">
        <v>291</v>
      </c>
      <c r="C117" s="13" t="s">
        <v>286</v>
      </c>
      <c r="D117" s="13" t="str">
        <f t="shared" si="1"/>
        <v xml:space="preserve">PTMaster Beneficiary Summary File (MBSF): Other Chronic or Potentially Disabling Conditions </v>
      </c>
      <c r="E117" s="13" t="s">
        <v>30</v>
      </c>
      <c r="F117" s="13" t="s">
        <v>30</v>
      </c>
    </row>
    <row r="118" spans="1:6" x14ac:dyDescent="0.3">
      <c r="A118" s="13" t="s">
        <v>222</v>
      </c>
      <c r="B118" t="s">
        <v>292</v>
      </c>
      <c r="C118" s="13" t="s">
        <v>246</v>
      </c>
      <c r="D118" s="13" t="str">
        <f t="shared" si="1"/>
        <v>PTMedicaid Analytic eXtract (MAX) Personal Summary (PS) Enrollment Data</v>
      </c>
      <c r="E118" s="13">
        <v>1999</v>
      </c>
      <c r="F118" s="13">
        <v>2012</v>
      </c>
    </row>
    <row r="119" spans="1:6" x14ac:dyDescent="0.3">
      <c r="A119" s="13" t="s">
        <v>222</v>
      </c>
      <c r="B119" t="s">
        <v>292</v>
      </c>
      <c r="C119" s="13" t="s">
        <v>267</v>
      </c>
      <c r="D119" s="13" t="str">
        <f t="shared" si="1"/>
        <v>PTTMSIS Analytic Files (TAF) Demographic and Eligibility (DE) Enrollment Data</v>
      </c>
      <c r="E119" s="13" t="s">
        <v>30</v>
      </c>
      <c r="F119" s="13" t="s">
        <v>30</v>
      </c>
    </row>
    <row r="120" spans="1:6" x14ac:dyDescent="0.3">
      <c r="A120" s="13" t="s">
        <v>222</v>
      </c>
      <c r="B120" t="s">
        <v>293</v>
      </c>
      <c r="C120" s="13" t="s">
        <v>432</v>
      </c>
      <c r="D120" s="13" t="str">
        <f t="shared" si="1"/>
        <v>PTMedicare Carrier (PB) Claims</v>
      </c>
      <c r="E120" s="13">
        <v>2005</v>
      </c>
      <c r="F120" s="13">
        <v>2018</v>
      </c>
    </row>
    <row r="121" spans="1:6" x14ac:dyDescent="0.3">
      <c r="A121" s="13" t="s">
        <v>222</v>
      </c>
      <c r="B121" t="s">
        <v>293</v>
      </c>
      <c r="C121" s="13" t="s">
        <v>433</v>
      </c>
      <c r="D121" s="13" t="str">
        <f t="shared" si="1"/>
        <v>PTMedicare Durable Medical Equipment (DM) Claims</v>
      </c>
      <c r="E121" s="13">
        <v>2005</v>
      </c>
      <c r="F121" s="13">
        <v>2018</v>
      </c>
    </row>
    <row r="122" spans="1:6" x14ac:dyDescent="0.3">
      <c r="A122" s="13" t="s">
        <v>222</v>
      </c>
      <c r="B122" t="s">
        <v>293</v>
      </c>
      <c r="C122" s="13" t="s">
        <v>434</v>
      </c>
      <c r="D122" s="13" t="str">
        <f t="shared" si="1"/>
        <v>PTMedicare Home Health (HH) Claims</v>
      </c>
      <c r="E122" s="13">
        <v>2005</v>
      </c>
      <c r="F122" s="13">
        <v>2018</v>
      </c>
    </row>
    <row r="123" spans="1:6" x14ac:dyDescent="0.3">
      <c r="A123" s="13" t="s">
        <v>222</v>
      </c>
      <c r="B123" t="s">
        <v>293</v>
      </c>
      <c r="C123" s="13" t="s">
        <v>435</v>
      </c>
      <c r="D123" s="13" t="str">
        <f t="shared" si="1"/>
        <v>PTMedicare Hospice (HS) Claims</v>
      </c>
      <c r="E123" s="13">
        <v>2005</v>
      </c>
      <c r="F123" s="13">
        <v>2018</v>
      </c>
    </row>
    <row r="124" spans="1:6" x14ac:dyDescent="0.3">
      <c r="A124" s="13" t="s">
        <v>222</v>
      </c>
      <c r="B124" t="s">
        <v>293</v>
      </c>
      <c r="C124" s="13" t="s">
        <v>436</v>
      </c>
      <c r="D124" s="13" t="str">
        <f t="shared" si="1"/>
        <v>PTMedicare Inpatient (IP) Claims</v>
      </c>
      <c r="E124" s="13">
        <v>2005</v>
      </c>
      <c r="F124" s="13">
        <v>2018</v>
      </c>
    </row>
    <row r="125" spans="1:6" x14ac:dyDescent="0.3">
      <c r="A125" s="13" t="s">
        <v>222</v>
      </c>
      <c r="B125" t="s">
        <v>293</v>
      </c>
      <c r="C125" s="13" t="s">
        <v>437</v>
      </c>
      <c r="D125" s="13" t="str">
        <f t="shared" si="1"/>
        <v>PTMedicare Outpatient (OP) Claims</v>
      </c>
      <c r="E125" s="13">
        <v>2005</v>
      </c>
      <c r="F125" s="13">
        <v>2018</v>
      </c>
    </row>
    <row r="126" spans="1:6" x14ac:dyDescent="0.3">
      <c r="A126" s="13" t="s">
        <v>222</v>
      </c>
      <c r="B126" t="s">
        <v>293</v>
      </c>
      <c r="C126" s="13" t="s">
        <v>438</v>
      </c>
      <c r="D126" s="13" t="str">
        <f t="shared" si="1"/>
        <v>PTMedicare Skilled Nursing Facility (SN) Claims</v>
      </c>
      <c r="E126" s="13">
        <v>2005</v>
      </c>
      <c r="F126" s="13">
        <v>2018</v>
      </c>
    </row>
    <row r="127" spans="1:6" x14ac:dyDescent="0.3">
      <c r="A127" s="13" t="s">
        <v>222</v>
      </c>
      <c r="B127" t="s">
        <v>293</v>
      </c>
      <c r="C127" s="13" t="s">
        <v>715</v>
      </c>
      <c r="D127" s="13" t="str">
        <f t="shared" si="1"/>
        <v>PTLINKAGE-Built Medicare Provider Analysis &amp; Review (MedPAR)</v>
      </c>
      <c r="E127" s="13">
        <v>2005</v>
      </c>
      <c r="F127" s="13">
        <v>2018</v>
      </c>
    </row>
    <row r="128" spans="1:6" x14ac:dyDescent="0.3">
      <c r="A128" s="13" t="s">
        <v>222</v>
      </c>
      <c r="B128" t="s">
        <v>294</v>
      </c>
      <c r="C128" s="13" t="s">
        <v>260</v>
      </c>
      <c r="D128" s="13" t="str">
        <f t="shared" si="1"/>
        <v>PTMedicare Carrier Encounter Claims</v>
      </c>
      <c r="E128" s="13" t="s">
        <v>30</v>
      </c>
      <c r="F128" s="13" t="s">
        <v>30</v>
      </c>
    </row>
    <row r="129" spans="1:6" x14ac:dyDescent="0.3">
      <c r="A129" s="13" t="s">
        <v>222</v>
      </c>
      <c r="B129" t="s">
        <v>294</v>
      </c>
      <c r="C129" s="13" t="s">
        <v>261</v>
      </c>
      <c r="D129" s="13" t="str">
        <f t="shared" si="1"/>
        <v>PTMedicare Durable Medical Equipment (DME) Encounter</v>
      </c>
      <c r="E129" s="13" t="s">
        <v>30</v>
      </c>
      <c r="F129" s="13" t="s">
        <v>30</v>
      </c>
    </row>
    <row r="130" spans="1:6" x14ac:dyDescent="0.3">
      <c r="A130" s="13" t="s">
        <v>222</v>
      </c>
      <c r="B130" t="s">
        <v>294</v>
      </c>
      <c r="C130" s="13" t="s">
        <v>262</v>
      </c>
      <c r="D130" s="13" t="str">
        <f t="shared" si="1"/>
        <v>PTMedicare Home Health Agency (HH) Encounter Claims</v>
      </c>
      <c r="E130" s="13" t="s">
        <v>30</v>
      </c>
      <c r="F130" s="13" t="s">
        <v>30</v>
      </c>
    </row>
    <row r="131" spans="1:6" x14ac:dyDescent="0.3">
      <c r="A131" s="13" t="s">
        <v>222</v>
      </c>
      <c r="B131" t="s">
        <v>294</v>
      </c>
      <c r="C131" s="13" t="s">
        <v>263</v>
      </c>
      <c r="D131" s="13" t="str">
        <f t="shared" si="1"/>
        <v>PTMedicare Inpatient (IP) Encounter Claims</v>
      </c>
      <c r="E131" s="13" t="s">
        <v>30</v>
      </c>
      <c r="F131" s="13" t="s">
        <v>30</v>
      </c>
    </row>
    <row r="132" spans="1:6" x14ac:dyDescent="0.3">
      <c r="A132" s="13" t="s">
        <v>222</v>
      </c>
      <c r="B132" t="s">
        <v>294</v>
      </c>
      <c r="C132" s="13" t="s">
        <v>264</v>
      </c>
      <c r="D132" s="13" t="str">
        <f t="shared" si="1"/>
        <v>PTMedicare Outpatient (OP) Encounter Claims</v>
      </c>
      <c r="E132" s="13" t="s">
        <v>30</v>
      </c>
      <c r="F132" s="13" t="s">
        <v>30</v>
      </c>
    </row>
    <row r="133" spans="1:6" x14ac:dyDescent="0.3">
      <c r="A133" s="13" t="s">
        <v>222</v>
      </c>
      <c r="B133" t="s">
        <v>294</v>
      </c>
      <c r="C133" s="13" t="s">
        <v>265</v>
      </c>
      <c r="D133" s="13" t="str">
        <f t="shared" si="1"/>
        <v>PTMedicare Skilled Nursing Facility (SNF) Encounter Claims</v>
      </c>
      <c r="E133" s="13" t="s">
        <v>30</v>
      </c>
      <c r="F133" s="13" t="s">
        <v>30</v>
      </c>
    </row>
    <row r="134" spans="1:6" x14ac:dyDescent="0.3">
      <c r="A134" s="13" t="s">
        <v>222</v>
      </c>
      <c r="B134" t="s">
        <v>266</v>
      </c>
      <c r="C134" s="13" t="s">
        <v>237</v>
      </c>
      <c r="D134" s="13" t="str">
        <f t="shared" si="1"/>
        <v>PTMedicare Part D Medication Therapy Management (MTM)</v>
      </c>
      <c r="E134" s="13">
        <v>2013</v>
      </c>
      <c r="F134" s="13">
        <v>2018</v>
      </c>
    </row>
    <row r="135" spans="1:6" x14ac:dyDescent="0.3">
      <c r="A135" s="13" t="s">
        <v>222</v>
      </c>
      <c r="B135" t="s">
        <v>295</v>
      </c>
      <c r="C135" s="13" t="s">
        <v>243</v>
      </c>
      <c r="D135" s="13" t="str">
        <f t="shared" si="1"/>
        <v>PTMedicaid Analytic eXtract (MAX) Inpatient (IP) Claims</v>
      </c>
      <c r="E135" s="13">
        <v>1999</v>
      </c>
      <c r="F135" s="13">
        <v>2012</v>
      </c>
    </row>
    <row r="136" spans="1:6" x14ac:dyDescent="0.3">
      <c r="A136" s="13" t="s">
        <v>222</v>
      </c>
      <c r="B136" t="s">
        <v>295</v>
      </c>
      <c r="C136" s="13" t="s">
        <v>244</v>
      </c>
      <c r="D136" s="13" t="str">
        <f t="shared" si="1"/>
        <v>PTMedicaid Analytic eXtract (MAX) Long Term Care (LT) Claims</v>
      </c>
      <c r="E136" s="13">
        <v>1999</v>
      </c>
      <c r="F136" s="13">
        <v>2012</v>
      </c>
    </row>
    <row r="137" spans="1:6" x14ac:dyDescent="0.3">
      <c r="A137" s="13" t="s">
        <v>222</v>
      </c>
      <c r="B137" t="s">
        <v>295</v>
      </c>
      <c r="C137" s="13" t="s">
        <v>245</v>
      </c>
      <c r="D137" s="13" t="str">
        <f t="shared" si="1"/>
        <v>PTMedicaid Analytic eXtract (MAX) Other Services (OT) Claims</v>
      </c>
      <c r="E137" s="13">
        <v>1999</v>
      </c>
      <c r="F137" s="13">
        <v>2012</v>
      </c>
    </row>
    <row r="138" spans="1:6" x14ac:dyDescent="0.3">
      <c r="A138" s="13" t="s">
        <v>222</v>
      </c>
      <c r="B138" t="s">
        <v>295</v>
      </c>
      <c r="C138" s="13" t="s">
        <v>248</v>
      </c>
      <c r="D138" s="13" t="str">
        <f t="shared" si="1"/>
        <v>PTMedicaid Analytic eXtract (MAX) Prescription Drug (RX) Data</v>
      </c>
      <c r="E138" s="13">
        <v>1999</v>
      </c>
      <c r="F138" s="13">
        <v>2012</v>
      </c>
    </row>
    <row r="139" spans="1:6" x14ac:dyDescent="0.3">
      <c r="A139" s="13" t="s">
        <v>222</v>
      </c>
      <c r="B139" t="s">
        <v>295</v>
      </c>
      <c r="C139" s="13" t="s">
        <v>268</v>
      </c>
      <c r="D139" s="13" t="str">
        <f t="shared" si="1"/>
        <v>PTTMSIS Analytic Files (TAF) Inpatient (IP) Claims</v>
      </c>
      <c r="E139" s="13" t="s">
        <v>30</v>
      </c>
      <c r="F139" s="13" t="s">
        <v>30</v>
      </c>
    </row>
    <row r="140" spans="1:6" x14ac:dyDescent="0.3">
      <c r="A140" s="13" t="s">
        <v>222</v>
      </c>
      <c r="B140" t="s">
        <v>295</v>
      </c>
      <c r="C140" s="13" t="s">
        <v>269</v>
      </c>
      <c r="D140" s="13" t="str">
        <f t="shared" ref="D140:D205" si="2">CONCATENATE(A140,C140)</f>
        <v>PTTMSIS Analytic Files (TAF) Long Term Care (LT) Claims</v>
      </c>
      <c r="E140" s="13" t="s">
        <v>30</v>
      </c>
      <c r="F140" s="13" t="s">
        <v>30</v>
      </c>
    </row>
    <row r="141" spans="1:6" x14ac:dyDescent="0.3">
      <c r="A141" s="13" t="s">
        <v>222</v>
      </c>
      <c r="B141" t="s">
        <v>295</v>
      </c>
      <c r="C141" s="13" t="s">
        <v>270</v>
      </c>
      <c r="D141" s="13" t="str">
        <f t="shared" si="2"/>
        <v>PTTMSIS Analytic Files (TAF) Other Services (OT) Claims</v>
      </c>
      <c r="E141" s="13" t="s">
        <v>30</v>
      </c>
      <c r="F141" s="13" t="s">
        <v>30</v>
      </c>
    </row>
    <row r="142" spans="1:6" x14ac:dyDescent="0.3">
      <c r="A142" s="13" t="s">
        <v>222</v>
      </c>
      <c r="B142" t="s">
        <v>295</v>
      </c>
      <c r="C142" s="13" t="s">
        <v>271</v>
      </c>
      <c r="D142" s="13" t="str">
        <f t="shared" si="2"/>
        <v>PTTMSIS Analytic Files (TAF) Pharmacy (RX) Data</v>
      </c>
      <c r="E142" s="13" t="s">
        <v>30</v>
      </c>
      <c r="F142" s="13" t="s">
        <v>30</v>
      </c>
    </row>
    <row r="143" spans="1:6" x14ac:dyDescent="0.3">
      <c r="A143" s="13" t="s">
        <v>222</v>
      </c>
      <c r="B143" t="s">
        <v>266</v>
      </c>
      <c r="C143" s="13" t="s">
        <v>365</v>
      </c>
      <c r="D143" s="13" t="str">
        <f t="shared" si="2"/>
        <v>PTPDE</v>
      </c>
      <c r="E143">
        <v>2006</v>
      </c>
      <c r="F143">
        <v>2018</v>
      </c>
    </row>
    <row r="144" spans="1:6" x14ac:dyDescent="0.3">
      <c r="A144" s="13" t="s">
        <v>222</v>
      </c>
      <c r="B144" t="s">
        <v>409</v>
      </c>
      <c r="C144" t="s">
        <v>299</v>
      </c>
      <c r="D144" s="13" t="str">
        <f t="shared" si="2"/>
        <v>PTIRF-PAI</v>
      </c>
      <c r="E144">
        <v>2005</v>
      </c>
      <c r="F144">
        <v>2018</v>
      </c>
    </row>
    <row r="145" spans="1:6" x14ac:dyDescent="0.3">
      <c r="A145" s="13" t="s">
        <v>222</v>
      </c>
      <c r="B145" t="s">
        <v>409</v>
      </c>
      <c r="C145" t="s">
        <v>38</v>
      </c>
      <c r="D145" s="13" t="str">
        <f t="shared" si="2"/>
        <v>PTMDS</v>
      </c>
      <c r="E145">
        <v>2005</v>
      </c>
      <c r="F145">
        <v>2018</v>
      </c>
    </row>
    <row r="146" spans="1:6" x14ac:dyDescent="0.3">
      <c r="A146" s="13" t="s">
        <v>222</v>
      </c>
      <c r="B146" t="s">
        <v>409</v>
      </c>
      <c r="C146" t="s">
        <v>357</v>
      </c>
      <c r="D146" s="13" t="str">
        <f t="shared" si="2"/>
        <v>PTOASIS</v>
      </c>
      <c r="E146">
        <v>2005</v>
      </c>
      <c r="F146">
        <v>2018</v>
      </c>
    </row>
    <row r="147" spans="1:6" s="17" customFormat="1" x14ac:dyDescent="0.3">
      <c r="A147" s="13" t="s">
        <v>222</v>
      </c>
      <c r="B147" s="17" t="s">
        <v>687</v>
      </c>
      <c r="C147" s="17" t="s">
        <v>687</v>
      </c>
      <c r="D147" s="13" t="str">
        <f t="shared" si="2"/>
        <v>PTHEDIS</v>
      </c>
      <c r="E147" s="13" t="s">
        <v>30</v>
      </c>
      <c r="F147" s="13" t="s">
        <v>30</v>
      </c>
    </row>
    <row r="148" spans="1:6" x14ac:dyDescent="0.3">
      <c r="A148" s="13" t="s">
        <v>223</v>
      </c>
      <c r="B148" t="s">
        <v>290</v>
      </c>
      <c r="C148" s="13" t="s">
        <v>83</v>
      </c>
      <c r="D148" s="13" t="str">
        <f t="shared" si="2"/>
        <v>RADCDenominator (DN)</v>
      </c>
      <c r="E148" s="13">
        <v>1991</v>
      </c>
      <c r="F148" s="13">
        <v>1998</v>
      </c>
    </row>
    <row r="149" spans="1:6" x14ac:dyDescent="0.3">
      <c r="A149" s="13" t="s">
        <v>223</v>
      </c>
      <c r="B149" t="s">
        <v>290</v>
      </c>
      <c r="C149" s="13" t="s">
        <v>283</v>
      </c>
      <c r="D149" s="13" t="str">
        <f t="shared" si="2"/>
        <v>RADCMaster Beneficiary Summary File (MBSF): Base – Segment (A/B/C/D)</v>
      </c>
      <c r="E149" s="13">
        <v>1999</v>
      </c>
      <c r="F149" s="13">
        <v>2022</v>
      </c>
    </row>
    <row r="150" spans="1:6" x14ac:dyDescent="0.3">
      <c r="A150" s="13" t="s">
        <v>223</v>
      </c>
      <c r="B150" t="s">
        <v>291</v>
      </c>
      <c r="C150" s="13" t="s">
        <v>284</v>
      </c>
      <c r="D150" s="13" t="str">
        <f t="shared" si="2"/>
        <v>RADCMaster Beneficiary Summary File (MBSF): Chronic Conditions</v>
      </c>
      <c r="E150" s="13">
        <v>1999</v>
      </c>
      <c r="F150" s="13">
        <v>2020</v>
      </c>
    </row>
    <row r="151" spans="1:6" x14ac:dyDescent="0.3">
      <c r="A151" s="13" t="s">
        <v>223</v>
      </c>
      <c r="B151" t="s">
        <v>291</v>
      </c>
      <c r="C151" s="13" t="s">
        <v>285</v>
      </c>
      <c r="D151" s="13" t="str">
        <f t="shared" si="2"/>
        <v>RADCMaster Beneficiary Summary File (MBSF): Cost &amp; Utilization</v>
      </c>
      <c r="E151" s="13">
        <v>1999</v>
      </c>
      <c r="F151" s="13">
        <v>2020</v>
      </c>
    </row>
    <row r="152" spans="1:6" x14ac:dyDescent="0.3">
      <c r="A152" s="13" t="s">
        <v>223</v>
      </c>
      <c r="B152" t="s">
        <v>291</v>
      </c>
      <c r="C152" s="13" t="s">
        <v>286</v>
      </c>
      <c r="D152" s="13" t="str">
        <f t="shared" si="2"/>
        <v xml:space="preserve">RADCMaster Beneficiary Summary File (MBSF): Other Chronic or Potentially Disabling Conditions </v>
      </c>
      <c r="E152" s="13">
        <v>2000</v>
      </c>
      <c r="F152" s="13">
        <v>2020</v>
      </c>
    </row>
    <row r="153" spans="1:6" x14ac:dyDescent="0.3">
      <c r="A153" s="13" t="s">
        <v>223</v>
      </c>
      <c r="B153" t="s">
        <v>292</v>
      </c>
      <c r="C153" s="13" t="s">
        <v>246</v>
      </c>
      <c r="D153" s="13" t="str">
        <f t="shared" si="2"/>
        <v>RADCMedicaid Analytic eXtract (MAX) Personal Summary (PS) Enrollment Data</v>
      </c>
      <c r="E153" s="13">
        <v>1999</v>
      </c>
      <c r="F153" s="13">
        <v>2015</v>
      </c>
    </row>
    <row r="154" spans="1:6" x14ac:dyDescent="0.3">
      <c r="A154" s="13" t="s">
        <v>223</v>
      </c>
      <c r="B154" t="s">
        <v>292</v>
      </c>
      <c r="C154" s="13" t="s">
        <v>267</v>
      </c>
      <c r="D154" s="13" t="str">
        <f t="shared" si="2"/>
        <v>RADCTMSIS Analytic Files (TAF) Demographic and Eligibility (DE) Enrollment Data</v>
      </c>
      <c r="E154" s="13">
        <v>2014</v>
      </c>
      <c r="F154" s="13">
        <v>2019</v>
      </c>
    </row>
    <row r="155" spans="1:6" x14ac:dyDescent="0.3">
      <c r="A155" s="13" t="s">
        <v>223</v>
      </c>
      <c r="B155" t="s">
        <v>293</v>
      </c>
      <c r="C155" s="13" t="s">
        <v>432</v>
      </c>
      <c r="D155" s="13" t="str">
        <f t="shared" si="2"/>
        <v>RADCMedicare Carrier (PB) Claims</v>
      </c>
      <c r="E155" s="13">
        <v>1991</v>
      </c>
      <c r="F155" s="13">
        <v>2022</v>
      </c>
    </row>
    <row r="156" spans="1:6" x14ac:dyDescent="0.3">
      <c r="A156" s="13" t="s">
        <v>223</v>
      </c>
      <c r="B156" t="s">
        <v>293</v>
      </c>
      <c r="C156" s="13" t="s">
        <v>433</v>
      </c>
      <c r="D156" s="13" t="str">
        <f t="shared" si="2"/>
        <v>RADCMedicare Durable Medical Equipment (DM) Claims</v>
      </c>
      <c r="E156" s="13">
        <v>1991</v>
      </c>
      <c r="F156" s="13">
        <v>2022</v>
      </c>
    </row>
    <row r="157" spans="1:6" x14ac:dyDescent="0.3">
      <c r="A157" s="13" t="s">
        <v>223</v>
      </c>
      <c r="B157" t="s">
        <v>293</v>
      </c>
      <c r="C157" s="13" t="s">
        <v>434</v>
      </c>
      <c r="D157" s="13" t="str">
        <f t="shared" si="2"/>
        <v>RADCMedicare Home Health (HH) Claims</v>
      </c>
      <c r="E157" s="13">
        <v>1991</v>
      </c>
      <c r="F157" s="13">
        <v>2022</v>
      </c>
    </row>
    <row r="158" spans="1:6" x14ac:dyDescent="0.3">
      <c r="A158" s="13" t="s">
        <v>223</v>
      </c>
      <c r="B158" t="s">
        <v>293</v>
      </c>
      <c r="C158" s="13" t="s">
        <v>435</v>
      </c>
      <c r="D158" s="13" t="str">
        <f t="shared" si="2"/>
        <v>RADCMedicare Hospice (HS) Claims</v>
      </c>
      <c r="E158" s="13">
        <v>1991</v>
      </c>
      <c r="F158" s="13">
        <v>2022</v>
      </c>
    </row>
    <row r="159" spans="1:6" x14ac:dyDescent="0.3">
      <c r="A159" s="13" t="s">
        <v>223</v>
      </c>
      <c r="B159" t="s">
        <v>293</v>
      </c>
      <c r="C159" s="13" t="s">
        <v>436</v>
      </c>
      <c r="D159" s="13" t="str">
        <f t="shared" si="2"/>
        <v>RADCMedicare Inpatient (IP) Claims</v>
      </c>
      <c r="E159" s="13">
        <v>1991</v>
      </c>
      <c r="F159" s="13">
        <v>2022</v>
      </c>
    </row>
    <row r="160" spans="1:6" x14ac:dyDescent="0.3">
      <c r="A160" s="13" t="s">
        <v>223</v>
      </c>
      <c r="B160" t="s">
        <v>293</v>
      </c>
      <c r="C160" s="13" t="s">
        <v>437</v>
      </c>
      <c r="D160" s="13" t="str">
        <f t="shared" si="2"/>
        <v>RADCMedicare Outpatient (OP) Claims</v>
      </c>
      <c r="E160" s="13">
        <v>1991</v>
      </c>
      <c r="F160" s="13">
        <v>2022</v>
      </c>
    </row>
    <row r="161" spans="1:6" x14ac:dyDescent="0.3">
      <c r="A161" s="13" t="s">
        <v>223</v>
      </c>
      <c r="B161" t="s">
        <v>293</v>
      </c>
      <c r="C161" s="13" t="s">
        <v>438</v>
      </c>
      <c r="D161" s="13" t="str">
        <f t="shared" si="2"/>
        <v>RADCMedicare Skilled Nursing Facility (SN) Claims</v>
      </c>
      <c r="E161" s="13">
        <v>1991</v>
      </c>
      <c r="F161" s="13">
        <v>2022</v>
      </c>
    </row>
    <row r="162" spans="1:6" x14ac:dyDescent="0.3">
      <c r="A162" s="13" t="s">
        <v>223</v>
      </c>
      <c r="B162" t="s">
        <v>293</v>
      </c>
      <c r="C162" s="13" t="s">
        <v>715</v>
      </c>
      <c r="D162" s="13" t="str">
        <f t="shared" si="2"/>
        <v>RADCLINKAGE-Built Medicare Provider Analysis &amp; Review (MedPAR)</v>
      </c>
      <c r="E162" s="13">
        <v>1991</v>
      </c>
      <c r="F162" s="13">
        <v>2022</v>
      </c>
    </row>
    <row r="163" spans="1:6" x14ac:dyDescent="0.3">
      <c r="A163" s="13" t="s">
        <v>223</v>
      </c>
      <c r="B163" t="s">
        <v>294</v>
      </c>
      <c r="C163" s="13" t="s">
        <v>260</v>
      </c>
      <c r="D163" s="13" t="str">
        <f t="shared" si="2"/>
        <v>RADCMedicare Carrier Encounter Claims</v>
      </c>
      <c r="E163" s="13">
        <v>2015</v>
      </c>
      <c r="F163" s="13">
        <v>2019</v>
      </c>
    </row>
    <row r="164" spans="1:6" x14ac:dyDescent="0.3">
      <c r="A164" s="13" t="s">
        <v>223</v>
      </c>
      <c r="B164" t="s">
        <v>294</v>
      </c>
      <c r="C164" s="13" t="s">
        <v>261</v>
      </c>
      <c r="D164" s="13" t="str">
        <f t="shared" si="2"/>
        <v>RADCMedicare Durable Medical Equipment (DME) Encounter</v>
      </c>
      <c r="E164" s="13">
        <v>2015</v>
      </c>
      <c r="F164" s="13">
        <v>2019</v>
      </c>
    </row>
    <row r="165" spans="1:6" x14ac:dyDescent="0.3">
      <c r="A165" s="13" t="s">
        <v>223</v>
      </c>
      <c r="B165" t="s">
        <v>294</v>
      </c>
      <c r="C165" s="13" t="s">
        <v>262</v>
      </c>
      <c r="D165" s="13" t="str">
        <f t="shared" si="2"/>
        <v>RADCMedicare Home Health Agency (HH) Encounter Claims</v>
      </c>
      <c r="E165" s="13">
        <v>2015</v>
      </c>
      <c r="F165" s="13">
        <v>2019</v>
      </c>
    </row>
    <row r="166" spans="1:6" x14ac:dyDescent="0.3">
      <c r="A166" s="13" t="s">
        <v>223</v>
      </c>
      <c r="B166" t="s">
        <v>294</v>
      </c>
      <c r="C166" s="13" t="s">
        <v>263</v>
      </c>
      <c r="D166" s="13" t="str">
        <f t="shared" si="2"/>
        <v>RADCMedicare Inpatient (IP) Encounter Claims</v>
      </c>
      <c r="E166" s="13">
        <v>2015</v>
      </c>
      <c r="F166" s="13">
        <v>2019</v>
      </c>
    </row>
    <row r="167" spans="1:6" x14ac:dyDescent="0.3">
      <c r="A167" s="13" t="s">
        <v>223</v>
      </c>
      <c r="B167" t="s">
        <v>294</v>
      </c>
      <c r="C167" s="13" t="s">
        <v>264</v>
      </c>
      <c r="D167" s="13" t="str">
        <f t="shared" si="2"/>
        <v>RADCMedicare Outpatient (OP) Encounter Claims</v>
      </c>
      <c r="E167" s="13">
        <v>2015</v>
      </c>
      <c r="F167" s="13">
        <v>2019</v>
      </c>
    </row>
    <row r="168" spans="1:6" x14ac:dyDescent="0.3">
      <c r="A168" s="13" t="s">
        <v>223</v>
      </c>
      <c r="B168" t="s">
        <v>294</v>
      </c>
      <c r="C168" s="13" t="s">
        <v>265</v>
      </c>
      <c r="D168" s="13" t="str">
        <f t="shared" si="2"/>
        <v>RADCMedicare Skilled Nursing Facility (SNF) Encounter Claims</v>
      </c>
      <c r="E168" s="13">
        <v>2015</v>
      </c>
      <c r="F168" s="13">
        <v>2019</v>
      </c>
    </row>
    <row r="169" spans="1:6" x14ac:dyDescent="0.3">
      <c r="A169" s="13" t="s">
        <v>223</v>
      </c>
      <c r="B169" t="s">
        <v>266</v>
      </c>
      <c r="C169" s="13" t="s">
        <v>237</v>
      </c>
      <c r="D169" s="13" t="str">
        <f t="shared" si="2"/>
        <v>RADCMedicare Part D Medication Therapy Management (MTM)</v>
      </c>
      <c r="E169" s="13">
        <v>2013</v>
      </c>
      <c r="F169" s="13">
        <v>2019</v>
      </c>
    </row>
    <row r="170" spans="1:6" x14ac:dyDescent="0.3">
      <c r="A170" s="13" t="s">
        <v>223</v>
      </c>
      <c r="B170" t="s">
        <v>295</v>
      </c>
      <c r="C170" s="13" t="s">
        <v>243</v>
      </c>
      <c r="D170" s="13" t="str">
        <f t="shared" si="2"/>
        <v>RADCMedicaid Analytic eXtract (MAX) Inpatient (IP) Claims</v>
      </c>
      <c r="E170" s="13">
        <v>1999</v>
      </c>
      <c r="F170" s="13">
        <v>2015</v>
      </c>
    </row>
    <row r="171" spans="1:6" x14ac:dyDescent="0.3">
      <c r="A171" s="13" t="s">
        <v>223</v>
      </c>
      <c r="B171" t="s">
        <v>295</v>
      </c>
      <c r="C171" s="13" t="s">
        <v>244</v>
      </c>
      <c r="D171" s="13" t="str">
        <f t="shared" si="2"/>
        <v>RADCMedicaid Analytic eXtract (MAX) Long Term Care (LT) Claims</v>
      </c>
      <c r="E171" s="13">
        <v>1999</v>
      </c>
      <c r="F171" s="13">
        <v>2015</v>
      </c>
    </row>
    <row r="172" spans="1:6" x14ac:dyDescent="0.3">
      <c r="A172" s="13" t="s">
        <v>223</v>
      </c>
      <c r="B172" t="s">
        <v>295</v>
      </c>
      <c r="C172" s="13" t="s">
        <v>245</v>
      </c>
      <c r="D172" s="13" t="str">
        <f t="shared" si="2"/>
        <v>RADCMedicaid Analytic eXtract (MAX) Other Services (OT) Claims</v>
      </c>
      <c r="E172" s="13">
        <v>1999</v>
      </c>
      <c r="F172" s="13">
        <v>2015</v>
      </c>
    </row>
    <row r="173" spans="1:6" x14ac:dyDescent="0.3">
      <c r="A173" s="13" t="s">
        <v>223</v>
      </c>
      <c r="B173" t="s">
        <v>295</v>
      </c>
      <c r="C173" s="13" t="s">
        <v>248</v>
      </c>
      <c r="D173" s="13" t="str">
        <f t="shared" si="2"/>
        <v>RADCMedicaid Analytic eXtract (MAX) Prescription Drug (RX) Data</v>
      </c>
      <c r="E173" s="13">
        <v>1999</v>
      </c>
      <c r="F173" s="13">
        <v>2015</v>
      </c>
    </row>
    <row r="174" spans="1:6" x14ac:dyDescent="0.3">
      <c r="A174" s="13" t="s">
        <v>223</v>
      </c>
      <c r="B174" t="s">
        <v>295</v>
      </c>
      <c r="C174" s="13" t="s">
        <v>268</v>
      </c>
      <c r="D174" s="13" t="str">
        <f t="shared" si="2"/>
        <v>RADCTMSIS Analytic Files (TAF) Inpatient (IP) Claims</v>
      </c>
      <c r="E174" s="13">
        <v>2014</v>
      </c>
      <c r="F174" s="13">
        <v>2019</v>
      </c>
    </row>
    <row r="175" spans="1:6" x14ac:dyDescent="0.3">
      <c r="A175" s="13" t="s">
        <v>223</v>
      </c>
      <c r="B175" t="s">
        <v>295</v>
      </c>
      <c r="C175" s="13" t="s">
        <v>269</v>
      </c>
      <c r="D175" s="13" t="str">
        <f t="shared" si="2"/>
        <v>RADCTMSIS Analytic Files (TAF) Long Term Care (LT) Claims</v>
      </c>
      <c r="E175" s="13">
        <v>2014</v>
      </c>
      <c r="F175" s="13">
        <v>2019</v>
      </c>
    </row>
    <row r="176" spans="1:6" x14ac:dyDescent="0.3">
      <c r="A176" s="13" t="s">
        <v>223</v>
      </c>
      <c r="B176" t="s">
        <v>295</v>
      </c>
      <c r="C176" s="13" t="s">
        <v>270</v>
      </c>
      <c r="D176" s="13" t="str">
        <f t="shared" si="2"/>
        <v>RADCTMSIS Analytic Files (TAF) Other Services (OT) Claims</v>
      </c>
      <c r="E176" s="13">
        <v>2014</v>
      </c>
      <c r="F176" s="13">
        <v>2019</v>
      </c>
    </row>
    <row r="177" spans="1:6" x14ac:dyDescent="0.3">
      <c r="A177" s="13" t="s">
        <v>223</v>
      </c>
      <c r="B177" t="s">
        <v>295</v>
      </c>
      <c r="C177" s="13" t="s">
        <v>271</v>
      </c>
      <c r="D177" s="13" t="str">
        <f t="shared" si="2"/>
        <v>RADCTMSIS Analytic Files (TAF) Pharmacy (RX) Data</v>
      </c>
      <c r="E177" s="13">
        <v>2014</v>
      </c>
      <c r="F177" s="13">
        <v>2019</v>
      </c>
    </row>
    <row r="178" spans="1:6" x14ac:dyDescent="0.3">
      <c r="A178" s="13" t="s">
        <v>223</v>
      </c>
      <c r="B178" t="s">
        <v>266</v>
      </c>
      <c r="C178" s="13" t="s">
        <v>365</v>
      </c>
      <c r="D178" s="13" t="str">
        <f t="shared" si="2"/>
        <v>RADCPDE</v>
      </c>
      <c r="E178">
        <v>2006</v>
      </c>
      <c r="F178">
        <v>2022</v>
      </c>
    </row>
    <row r="179" spans="1:6" x14ac:dyDescent="0.3">
      <c r="A179" s="13" t="s">
        <v>223</v>
      </c>
      <c r="B179" t="s">
        <v>409</v>
      </c>
      <c r="C179" t="s">
        <v>299</v>
      </c>
      <c r="D179" s="13" t="str">
        <f t="shared" si="2"/>
        <v>RADCIRF-PAI</v>
      </c>
      <c r="E179" s="13">
        <v>2002</v>
      </c>
      <c r="F179" s="13">
        <v>2020</v>
      </c>
    </row>
    <row r="180" spans="1:6" x14ac:dyDescent="0.3">
      <c r="A180" s="13" t="s">
        <v>223</v>
      </c>
      <c r="B180" t="s">
        <v>409</v>
      </c>
      <c r="C180" t="s">
        <v>38</v>
      </c>
      <c r="D180" s="13" t="str">
        <f t="shared" si="2"/>
        <v>RADCMDS</v>
      </c>
      <c r="E180">
        <v>1999</v>
      </c>
      <c r="F180">
        <v>2022</v>
      </c>
    </row>
    <row r="181" spans="1:6" x14ac:dyDescent="0.3">
      <c r="A181" s="13" t="s">
        <v>223</v>
      </c>
      <c r="B181" t="s">
        <v>409</v>
      </c>
      <c r="C181" t="s">
        <v>357</v>
      </c>
      <c r="D181" s="13" t="str">
        <f t="shared" si="2"/>
        <v>RADCOASIS</v>
      </c>
      <c r="E181">
        <v>1999</v>
      </c>
      <c r="F181">
        <v>2020</v>
      </c>
    </row>
    <row r="182" spans="1:6" s="17" customFormat="1" x14ac:dyDescent="0.3">
      <c r="A182" s="13" t="s">
        <v>223</v>
      </c>
      <c r="B182" s="17" t="s">
        <v>687</v>
      </c>
      <c r="C182" s="17" t="s">
        <v>687</v>
      </c>
      <c r="D182" s="13" t="str">
        <f t="shared" si="2"/>
        <v>RADCHEDIS</v>
      </c>
      <c r="E182" s="13" t="s">
        <v>30</v>
      </c>
      <c r="F182" s="13" t="s">
        <v>30</v>
      </c>
    </row>
    <row r="183" spans="1:6" x14ac:dyDescent="0.3">
      <c r="A183" s="13" t="s">
        <v>112</v>
      </c>
      <c r="B183" t="s">
        <v>290</v>
      </c>
      <c r="C183" s="13" t="s">
        <v>83</v>
      </c>
      <c r="D183" s="13" t="str">
        <f t="shared" si="2"/>
        <v>WLSDenominator (DN)</v>
      </c>
      <c r="E183" s="13">
        <v>1991</v>
      </c>
      <c r="F183" s="13">
        <v>1998</v>
      </c>
    </row>
    <row r="184" spans="1:6" x14ac:dyDescent="0.3">
      <c r="A184" s="13" t="s">
        <v>112</v>
      </c>
      <c r="B184" t="s">
        <v>290</v>
      </c>
      <c r="C184" s="13" t="s">
        <v>283</v>
      </c>
      <c r="D184" s="13" t="str">
        <f t="shared" si="2"/>
        <v>WLSMaster Beneficiary Summary File (MBSF): Base – Segment (A/B/C/D)</v>
      </c>
      <c r="E184" s="13">
        <v>1999</v>
      </c>
      <c r="F184" s="13">
        <v>2018</v>
      </c>
    </row>
    <row r="185" spans="1:6" x14ac:dyDescent="0.3">
      <c r="A185" s="13" t="s">
        <v>112</v>
      </c>
      <c r="B185" t="s">
        <v>291</v>
      </c>
      <c r="C185" s="13" t="s">
        <v>284</v>
      </c>
      <c r="D185" s="13" t="str">
        <f t="shared" si="2"/>
        <v>WLSMaster Beneficiary Summary File (MBSF): Chronic Conditions</v>
      </c>
      <c r="E185" s="13" t="s">
        <v>30</v>
      </c>
      <c r="F185" s="13" t="s">
        <v>30</v>
      </c>
    </row>
    <row r="186" spans="1:6" x14ac:dyDescent="0.3">
      <c r="A186" s="13" t="s">
        <v>112</v>
      </c>
      <c r="B186" t="s">
        <v>291</v>
      </c>
      <c r="C186" s="13" t="s">
        <v>285</v>
      </c>
      <c r="D186" s="13" t="str">
        <f t="shared" si="2"/>
        <v>WLSMaster Beneficiary Summary File (MBSF): Cost &amp; Utilization</v>
      </c>
      <c r="E186" s="13" t="s">
        <v>30</v>
      </c>
      <c r="F186" s="13" t="s">
        <v>30</v>
      </c>
    </row>
    <row r="187" spans="1:6" x14ac:dyDescent="0.3">
      <c r="A187" s="13" t="s">
        <v>112</v>
      </c>
      <c r="B187" t="s">
        <v>291</v>
      </c>
      <c r="C187" s="13" t="s">
        <v>286</v>
      </c>
      <c r="D187" s="13" t="str">
        <f t="shared" si="2"/>
        <v xml:space="preserve">WLSMaster Beneficiary Summary File (MBSF): Other Chronic or Potentially Disabling Conditions </v>
      </c>
      <c r="E187" s="13" t="s">
        <v>30</v>
      </c>
      <c r="F187" s="13" t="s">
        <v>30</v>
      </c>
    </row>
    <row r="188" spans="1:6" x14ac:dyDescent="0.3">
      <c r="A188" s="13" t="s">
        <v>112</v>
      </c>
      <c r="B188" t="s">
        <v>292</v>
      </c>
      <c r="C188" s="13" t="s">
        <v>246</v>
      </c>
      <c r="D188" s="13" t="str">
        <f t="shared" si="2"/>
        <v>WLSMedicaid Analytic eXtract (MAX) Personal Summary (PS) Enrollment Data</v>
      </c>
      <c r="E188" s="13">
        <v>1999</v>
      </c>
      <c r="F188" s="13">
        <v>2012</v>
      </c>
    </row>
    <row r="189" spans="1:6" x14ac:dyDescent="0.3">
      <c r="A189" s="13" t="s">
        <v>112</v>
      </c>
      <c r="B189" t="s">
        <v>292</v>
      </c>
      <c r="C189" s="13" t="s">
        <v>267</v>
      </c>
      <c r="D189" s="13" t="str">
        <f t="shared" si="2"/>
        <v>WLSTMSIS Analytic Files (TAF) Demographic and Eligibility (DE) Enrollment Data</v>
      </c>
      <c r="E189" s="13" t="s">
        <v>30</v>
      </c>
      <c r="F189" s="13" t="s">
        <v>30</v>
      </c>
    </row>
    <row r="190" spans="1:6" x14ac:dyDescent="0.3">
      <c r="A190" s="13" t="s">
        <v>112</v>
      </c>
      <c r="B190" t="s">
        <v>293</v>
      </c>
      <c r="C190" s="13" t="s">
        <v>432</v>
      </c>
      <c r="D190" s="13" t="str">
        <f t="shared" si="2"/>
        <v>WLSMedicare Carrier (PB) Claims</v>
      </c>
      <c r="E190" s="13">
        <v>1991</v>
      </c>
      <c r="F190" s="13">
        <v>2018</v>
      </c>
    </row>
    <row r="191" spans="1:6" x14ac:dyDescent="0.3">
      <c r="A191" s="13" t="s">
        <v>112</v>
      </c>
      <c r="B191" t="s">
        <v>293</v>
      </c>
      <c r="C191" s="13" t="s">
        <v>433</v>
      </c>
      <c r="D191" s="13" t="str">
        <f t="shared" si="2"/>
        <v>WLSMedicare Durable Medical Equipment (DM) Claims</v>
      </c>
      <c r="E191" s="13">
        <v>1991</v>
      </c>
      <c r="F191" s="13">
        <v>2018</v>
      </c>
    </row>
    <row r="192" spans="1:6" x14ac:dyDescent="0.3">
      <c r="A192" s="13" t="s">
        <v>112</v>
      </c>
      <c r="B192" t="s">
        <v>293</v>
      </c>
      <c r="C192" s="13" t="s">
        <v>434</v>
      </c>
      <c r="D192" s="13" t="str">
        <f t="shared" si="2"/>
        <v>WLSMedicare Home Health (HH) Claims</v>
      </c>
      <c r="E192" s="13">
        <v>1991</v>
      </c>
      <c r="F192" s="13">
        <v>2018</v>
      </c>
    </row>
    <row r="193" spans="1:6" x14ac:dyDescent="0.3">
      <c r="A193" s="13" t="s">
        <v>112</v>
      </c>
      <c r="B193" t="s">
        <v>293</v>
      </c>
      <c r="C193" s="13" t="s">
        <v>435</v>
      </c>
      <c r="D193" s="13" t="str">
        <f t="shared" si="2"/>
        <v>WLSMedicare Hospice (HS) Claims</v>
      </c>
      <c r="E193" s="13">
        <v>1991</v>
      </c>
      <c r="F193" s="13">
        <v>2018</v>
      </c>
    </row>
    <row r="194" spans="1:6" x14ac:dyDescent="0.3">
      <c r="A194" s="13" t="s">
        <v>112</v>
      </c>
      <c r="B194" t="s">
        <v>293</v>
      </c>
      <c r="C194" s="13" t="s">
        <v>436</v>
      </c>
      <c r="D194" s="13" t="str">
        <f t="shared" si="2"/>
        <v>WLSMedicare Inpatient (IP) Claims</v>
      </c>
      <c r="E194" s="13">
        <v>1991</v>
      </c>
      <c r="F194" s="13">
        <v>2018</v>
      </c>
    </row>
    <row r="195" spans="1:6" x14ac:dyDescent="0.3">
      <c r="A195" s="13" t="s">
        <v>112</v>
      </c>
      <c r="B195" t="s">
        <v>293</v>
      </c>
      <c r="C195" s="13" t="s">
        <v>437</v>
      </c>
      <c r="D195" s="13" t="str">
        <f t="shared" si="2"/>
        <v>WLSMedicare Outpatient (OP) Claims</v>
      </c>
      <c r="E195" s="13">
        <v>1991</v>
      </c>
      <c r="F195" s="13">
        <v>2018</v>
      </c>
    </row>
    <row r="196" spans="1:6" x14ac:dyDescent="0.3">
      <c r="A196" s="13" t="s">
        <v>112</v>
      </c>
      <c r="B196" t="s">
        <v>293</v>
      </c>
      <c r="C196" s="13" t="s">
        <v>438</v>
      </c>
      <c r="D196" s="13" t="str">
        <f t="shared" si="2"/>
        <v>WLSMedicare Skilled Nursing Facility (SN) Claims</v>
      </c>
      <c r="E196" s="13">
        <v>1991</v>
      </c>
      <c r="F196" s="13">
        <v>2018</v>
      </c>
    </row>
    <row r="197" spans="1:6" x14ac:dyDescent="0.3">
      <c r="A197" s="13" t="s">
        <v>112</v>
      </c>
      <c r="B197" t="s">
        <v>293</v>
      </c>
      <c r="C197" s="13" t="s">
        <v>715</v>
      </c>
      <c r="D197" s="13" t="str">
        <f t="shared" si="2"/>
        <v>WLSLINKAGE-Built Medicare Provider Analysis &amp; Review (MedPAR)</v>
      </c>
      <c r="E197" s="13">
        <v>1991</v>
      </c>
      <c r="F197" s="13">
        <v>2018</v>
      </c>
    </row>
    <row r="198" spans="1:6" x14ac:dyDescent="0.3">
      <c r="A198" s="13" t="s">
        <v>112</v>
      </c>
      <c r="B198" t="s">
        <v>294</v>
      </c>
      <c r="C198" s="13" t="s">
        <v>260</v>
      </c>
      <c r="D198" s="13" t="str">
        <f t="shared" si="2"/>
        <v>WLSMedicare Carrier Encounter Claims</v>
      </c>
      <c r="E198" s="13" t="s">
        <v>30</v>
      </c>
      <c r="F198" s="13" t="s">
        <v>30</v>
      </c>
    </row>
    <row r="199" spans="1:6" x14ac:dyDescent="0.3">
      <c r="A199" s="13" t="s">
        <v>112</v>
      </c>
      <c r="B199" t="s">
        <v>294</v>
      </c>
      <c r="C199" s="13" t="s">
        <v>261</v>
      </c>
      <c r="D199" s="13" t="str">
        <f t="shared" si="2"/>
        <v>WLSMedicare Durable Medical Equipment (DME) Encounter</v>
      </c>
      <c r="E199" s="13" t="s">
        <v>30</v>
      </c>
      <c r="F199" s="13" t="s">
        <v>30</v>
      </c>
    </row>
    <row r="200" spans="1:6" x14ac:dyDescent="0.3">
      <c r="A200" s="13" t="s">
        <v>112</v>
      </c>
      <c r="B200" t="s">
        <v>294</v>
      </c>
      <c r="C200" s="13" t="s">
        <v>262</v>
      </c>
      <c r="D200" s="13" t="str">
        <f t="shared" si="2"/>
        <v>WLSMedicare Home Health Agency (HH) Encounter Claims</v>
      </c>
      <c r="E200" s="13" t="s">
        <v>30</v>
      </c>
      <c r="F200" s="13" t="s">
        <v>30</v>
      </c>
    </row>
    <row r="201" spans="1:6" x14ac:dyDescent="0.3">
      <c r="A201" s="13" t="s">
        <v>112</v>
      </c>
      <c r="B201" t="s">
        <v>294</v>
      </c>
      <c r="C201" s="13" t="s">
        <v>263</v>
      </c>
      <c r="D201" s="13" t="str">
        <f t="shared" si="2"/>
        <v>WLSMedicare Inpatient (IP) Encounter Claims</v>
      </c>
      <c r="E201" s="13" t="s">
        <v>30</v>
      </c>
      <c r="F201" s="13" t="s">
        <v>30</v>
      </c>
    </row>
    <row r="202" spans="1:6" x14ac:dyDescent="0.3">
      <c r="A202" s="13" t="s">
        <v>112</v>
      </c>
      <c r="B202" t="s">
        <v>294</v>
      </c>
      <c r="C202" s="13" t="s">
        <v>264</v>
      </c>
      <c r="D202" s="13" t="str">
        <f t="shared" si="2"/>
        <v>WLSMedicare Outpatient (OP) Encounter Claims</v>
      </c>
      <c r="E202" s="13" t="s">
        <v>30</v>
      </c>
      <c r="F202" s="13" t="s">
        <v>30</v>
      </c>
    </row>
    <row r="203" spans="1:6" x14ac:dyDescent="0.3">
      <c r="A203" s="13" t="s">
        <v>112</v>
      </c>
      <c r="B203" t="s">
        <v>294</v>
      </c>
      <c r="C203" s="13" t="s">
        <v>265</v>
      </c>
      <c r="D203" s="13" t="str">
        <f t="shared" si="2"/>
        <v>WLSMedicare Skilled Nursing Facility (SNF) Encounter Claims</v>
      </c>
      <c r="E203" s="13" t="s">
        <v>30</v>
      </c>
      <c r="F203" s="13" t="s">
        <v>30</v>
      </c>
    </row>
    <row r="204" spans="1:6" x14ac:dyDescent="0.3">
      <c r="A204" s="13" t="s">
        <v>112</v>
      </c>
      <c r="B204" t="s">
        <v>266</v>
      </c>
      <c r="C204" s="13" t="s">
        <v>237</v>
      </c>
      <c r="D204" s="13" t="str">
        <f t="shared" si="2"/>
        <v>WLSMedicare Part D Medication Therapy Management (MTM)</v>
      </c>
      <c r="E204" s="13">
        <v>2013</v>
      </c>
      <c r="F204" s="13">
        <v>2018</v>
      </c>
    </row>
    <row r="205" spans="1:6" x14ac:dyDescent="0.3">
      <c r="A205" s="13" t="s">
        <v>112</v>
      </c>
      <c r="B205" t="s">
        <v>295</v>
      </c>
      <c r="C205" s="13" t="s">
        <v>243</v>
      </c>
      <c r="D205" s="13" t="str">
        <f t="shared" si="2"/>
        <v>WLSMedicaid Analytic eXtract (MAX) Inpatient (IP) Claims</v>
      </c>
      <c r="E205" s="13">
        <v>1999</v>
      </c>
      <c r="F205" s="13">
        <v>2012</v>
      </c>
    </row>
    <row r="206" spans="1:6" x14ac:dyDescent="0.3">
      <c r="A206" s="13" t="s">
        <v>112</v>
      </c>
      <c r="B206" t="s">
        <v>295</v>
      </c>
      <c r="C206" s="13" t="s">
        <v>244</v>
      </c>
      <c r="D206" s="13" t="str">
        <f t="shared" ref="D206:D357" si="3">CONCATENATE(A206,C206)</f>
        <v>WLSMedicaid Analytic eXtract (MAX) Long Term Care (LT) Claims</v>
      </c>
      <c r="E206" s="13">
        <v>1999</v>
      </c>
      <c r="F206" s="13">
        <v>2012</v>
      </c>
    </row>
    <row r="207" spans="1:6" x14ac:dyDescent="0.3">
      <c r="A207" s="13" t="s">
        <v>112</v>
      </c>
      <c r="B207" t="s">
        <v>295</v>
      </c>
      <c r="C207" s="13" t="s">
        <v>245</v>
      </c>
      <c r="D207" s="13" t="str">
        <f t="shared" si="3"/>
        <v>WLSMedicaid Analytic eXtract (MAX) Other Services (OT) Claims</v>
      </c>
      <c r="E207" s="13">
        <v>1999</v>
      </c>
      <c r="F207" s="13">
        <v>2012</v>
      </c>
    </row>
    <row r="208" spans="1:6" x14ac:dyDescent="0.3">
      <c r="A208" s="13" t="s">
        <v>112</v>
      </c>
      <c r="B208" t="s">
        <v>295</v>
      </c>
      <c r="C208" s="13" t="s">
        <v>248</v>
      </c>
      <c r="D208" s="13" t="str">
        <f t="shared" si="3"/>
        <v>WLSMedicaid Analytic eXtract (MAX) Prescription Drug (RX) Data</v>
      </c>
      <c r="E208" s="13">
        <v>1999</v>
      </c>
      <c r="F208" s="13">
        <v>2012</v>
      </c>
    </row>
    <row r="209" spans="1:6" x14ac:dyDescent="0.3">
      <c r="A209" s="13" t="s">
        <v>112</v>
      </c>
      <c r="B209" t="s">
        <v>295</v>
      </c>
      <c r="C209" s="13" t="s">
        <v>268</v>
      </c>
      <c r="D209" s="13" t="str">
        <f t="shared" si="3"/>
        <v>WLSTMSIS Analytic Files (TAF) Inpatient (IP) Claims</v>
      </c>
      <c r="E209" s="13" t="s">
        <v>30</v>
      </c>
      <c r="F209" s="13" t="s">
        <v>30</v>
      </c>
    </row>
    <row r="210" spans="1:6" x14ac:dyDescent="0.3">
      <c r="A210" s="13" t="s">
        <v>112</v>
      </c>
      <c r="B210" t="s">
        <v>295</v>
      </c>
      <c r="C210" s="13" t="s">
        <v>269</v>
      </c>
      <c r="D210" s="13" t="str">
        <f t="shared" si="3"/>
        <v>WLSTMSIS Analytic Files (TAF) Long Term Care (LT) Claims</v>
      </c>
      <c r="E210" s="13" t="s">
        <v>30</v>
      </c>
      <c r="F210" s="13" t="s">
        <v>30</v>
      </c>
    </row>
    <row r="211" spans="1:6" x14ac:dyDescent="0.3">
      <c r="A211" s="13" t="s">
        <v>112</v>
      </c>
      <c r="B211" t="s">
        <v>295</v>
      </c>
      <c r="C211" s="13" t="s">
        <v>270</v>
      </c>
      <c r="D211" s="13" t="str">
        <f t="shared" si="3"/>
        <v>WLSTMSIS Analytic Files (TAF) Other Services (OT) Claims</v>
      </c>
      <c r="E211" s="13" t="s">
        <v>30</v>
      </c>
      <c r="F211" s="13" t="s">
        <v>30</v>
      </c>
    </row>
    <row r="212" spans="1:6" x14ac:dyDescent="0.3">
      <c r="A212" s="13" t="s">
        <v>112</v>
      </c>
      <c r="B212" t="s">
        <v>295</v>
      </c>
      <c r="C212" s="13" t="s">
        <v>271</v>
      </c>
      <c r="D212" s="13" t="str">
        <f t="shared" si="3"/>
        <v>WLSTMSIS Analytic Files (TAF) Pharmacy (RX) Data</v>
      </c>
      <c r="E212" s="13" t="s">
        <v>30</v>
      </c>
      <c r="F212" s="13" t="s">
        <v>30</v>
      </c>
    </row>
    <row r="213" spans="1:6" x14ac:dyDescent="0.3">
      <c r="A213" s="13" t="s">
        <v>112</v>
      </c>
      <c r="B213" t="s">
        <v>266</v>
      </c>
      <c r="C213" s="13" t="s">
        <v>365</v>
      </c>
      <c r="D213" s="13" t="str">
        <f t="shared" si="3"/>
        <v>WLSPDE</v>
      </c>
      <c r="E213">
        <v>2006</v>
      </c>
      <c r="F213">
        <v>2018</v>
      </c>
    </row>
    <row r="214" spans="1:6" x14ac:dyDescent="0.3">
      <c r="A214" s="13" t="s">
        <v>112</v>
      </c>
      <c r="B214" t="s">
        <v>409</v>
      </c>
      <c r="C214" t="s">
        <v>299</v>
      </c>
      <c r="D214" s="13" t="str">
        <f t="shared" si="3"/>
        <v>WLSIRF-PAI</v>
      </c>
      <c r="E214">
        <v>2002</v>
      </c>
      <c r="F214">
        <v>2018</v>
      </c>
    </row>
    <row r="215" spans="1:6" x14ac:dyDescent="0.3">
      <c r="A215" s="13" t="s">
        <v>112</v>
      </c>
      <c r="B215" t="s">
        <v>409</v>
      </c>
      <c r="C215" t="s">
        <v>38</v>
      </c>
      <c r="D215" s="13" t="str">
        <f t="shared" si="3"/>
        <v>WLSMDS</v>
      </c>
      <c r="E215">
        <v>1999</v>
      </c>
      <c r="F215">
        <v>2018</v>
      </c>
    </row>
    <row r="216" spans="1:6" x14ac:dyDescent="0.3">
      <c r="A216" s="13" t="s">
        <v>112</v>
      </c>
      <c r="B216" t="s">
        <v>409</v>
      </c>
      <c r="C216" t="s">
        <v>357</v>
      </c>
      <c r="D216" s="13" t="str">
        <f t="shared" si="3"/>
        <v>WLSOASIS</v>
      </c>
      <c r="E216">
        <v>1999</v>
      </c>
      <c r="F216">
        <v>2018</v>
      </c>
    </row>
    <row r="217" spans="1:6" s="17" customFormat="1" x14ac:dyDescent="0.3">
      <c r="A217" s="13" t="s">
        <v>112</v>
      </c>
      <c r="B217" s="17" t="s">
        <v>687</v>
      </c>
      <c r="C217" s="17" t="s">
        <v>687</v>
      </c>
      <c r="D217" s="13" t="str">
        <f t="shared" si="3"/>
        <v>WLSHEDIS</v>
      </c>
      <c r="E217" s="13" t="s">
        <v>30</v>
      </c>
      <c r="F217" s="13" t="s">
        <v>30</v>
      </c>
    </row>
    <row r="218" spans="1:6" x14ac:dyDescent="0.3">
      <c r="A218" s="13" t="s">
        <v>725</v>
      </c>
      <c r="B218" t="s">
        <v>290</v>
      </c>
      <c r="C218" s="13" t="s">
        <v>83</v>
      </c>
      <c r="D218" s="13" t="str">
        <f t="shared" si="3"/>
        <v>LINKAGEDenominator (DN)</v>
      </c>
      <c r="E218" s="17">
        <v>1991</v>
      </c>
      <c r="F218" s="17">
        <v>1998</v>
      </c>
    </row>
    <row r="219" spans="1:6" x14ac:dyDescent="0.3">
      <c r="A219" s="13" t="s">
        <v>725</v>
      </c>
      <c r="B219" t="s">
        <v>290</v>
      </c>
      <c r="C219" s="13" t="s">
        <v>283</v>
      </c>
      <c r="D219" s="13" t="str">
        <f t="shared" si="3"/>
        <v>LINKAGEMaster Beneficiary Summary File (MBSF): Base – Segment (A/B/C/D)</v>
      </c>
      <c r="E219" s="17">
        <v>1999</v>
      </c>
      <c r="F219" s="17">
        <v>2022</v>
      </c>
    </row>
    <row r="220" spans="1:6" x14ac:dyDescent="0.3">
      <c r="A220" s="13" t="s">
        <v>725</v>
      </c>
      <c r="B220" t="s">
        <v>291</v>
      </c>
      <c r="C220" s="13" t="s">
        <v>284</v>
      </c>
      <c r="D220" s="13" t="str">
        <f t="shared" si="3"/>
        <v>LINKAGEMaster Beneficiary Summary File (MBSF): Chronic Conditions</v>
      </c>
      <c r="E220" s="17">
        <v>1999</v>
      </c>
      <c r="F220" s="17">
        <v>2020</v>
      </c>
    </row>
    <row r="221" spans="1:6" x14ac:dyDescent="0.3">
      <c r="A221" s="13" t="s">
        <v>725</v>
      </c>
      <c r="B221" t="s">
        <v>291</v>
      </c>
      <c r="C221" s="13" t="s">
        <v>285</v>
      </c>
      <c r="D221" s="13" t="str">
        <f t="shared" si="3"/>
        <v>LINKAGEMaster Beneficiary Summary File (MBSF): Cost &amp; Utilization</v>
      </c>
      <c r="E221" s="17">
        <v>1999</v>
      </c>
      <c r="F221" s="17">
        <v>2020</v>
      </c>
    </row>
    <row r="222" spans="1:6" x14ac:dyDescent="0.3">
      <c r="A222" s="13" t="s">
        <v>725</v>
      </c>
      <c r="B222" t="s">
        <v>291</v>
      </c>
      <c r="C222" s="13" t="s">
        <v>286</v>
      </c>
      <c r="D222" s="13" t="str">
        <f t="shared" si="3"/>
        <v xml:space="preserve">LINKAGEMaster Beneficiary Summary File (MBSF): Other Chronic or Potentially Disabling Conditions </v>
      </c>
      <c r="E222" s="17">
        <v>2000</v>
      </c>
      <c r="F222" s="17">
        <v>2020</v>
      </c>
    </row>
    <row r="223" spans="1:6" x14ac:dyDescent="0.3">
      <c r="A223" s="13" t="s">
        <v>725</v>
      </c>
      <c r="B223" t="s">
        <v>292</v>
      </c>
      <c r="C223" s="13" t="s">
        <v>246</v>
      </c>
      <c r="D223" s="13" t="str">
        <f t="shared" si="3"/>
        <v>LINKAGEMedicaid Analytic eXtract (MAX) Personal Summary (PS) Enrollment Data</v>
      </c>
      <c r="E223" s="17">
        <v>1999</v>
      </c>
      <c r="F223" s="17">
        <v>2015</v>
      </c>
    </row>
    <row r="224" spans="1:6" x14ac:dyDescent="0.3">
      <c r="A224" s="13" t="s">
        <v>725</v>
      </c>
      <c r="B224" t="s">
        <v>292</v>
      </c>
      <c r="C224" s="13" t="s">
        <v>267</v>
      </c>
      <c r="D224" s="13" t="str">
        <f t="shared" si="3"/>
        <v>LINKAGETMSIS Analytic Files (TAF) Demographic and Eligibility (DE) Enrollment Data</v>
      </c>
      <c r="E224" s="17">
        <v>2014</v>
      </c>
      <c r="F224" s="17">
        <v>2019</v>
      </c>
    </row>
    <row r="225" spans="1:6" x14ac:dyDescent="0.3">
      <c r="A225" s="13" t="s">
        <v>725</v>
      </c>
      <c r="B225" t="s">
        <v>293</v>
      </c>
      <c r="C225" s="13" t="s">
        <v>432</v>
      </c>
      <c r="D225" s="13" t="str">
        <f t="shared" si="3"/>
        <v>LINKAGEMedicare Carrier (PB) Claims</v>
      </c>
      <c r="E225" s="17">
        <v>1991</v>
      </c>
      <c r="F225" s="17">
        <v>2022</v>
      </c>
    </row>
    <row r="226" spans="1:6" x14ac:dyDescent="0.3">
      <c r="A226" s="13" t="s">
        <v>725</v>
      </c>
      <c r="B226" t="s">
        <v>293</v>
      </c>
      <c r="C226" s="13" t="s">
        <v>433</v>
      </c>
      <c r="D226" s="13" t="str">
        <f t="shared" si="3"/>
        <v>LINKAGEMedicare Durable Medical Equipment (DM) Claims</v>
      </c>
      <c r="E226" s="17">
        <v>1991</v>
      </c>
      <c r="F226" s="17">
        <v>2022</v>
      </c>
    </row>
    <row r="227" spans="1:6" x14ac:dyDescent="0.3">
      <c r="A227" s="13" t="s">
        <v>725</v>
      </c>
      <c r="B227" t="s">
        <v>293</v>
      </c>
      <c r="C227" s="13" t="s">
        <v>434</v>
      </c>
      <c r="D227" s="13" t="str">
        <f t="shared" si="3"/>
        <v>LINKAGEMedicare Home Health (HH) Claims</v>
      </c>
      <c r="E227" s="17">
        <v>1991</v>
      </c>
      <c r="F227" s="17">
        <v>2022</v>
      </c>
    </row>
    <row r="228" spans="1:6" x14ac:dyDescent="0.3">
      <c r="A228" s="13" t="s">
        <v>725</v>
      </c>
      <c r="B228" t="s">
        <v>293</v>
      </c>
      <c r="C228" s="13" t="s">
        <v>435</v>
      </c>
      <c r="D228" s="13" t="str">
        <f t="shared" si="3"/>
        <v>LINKAGEMedicare Hospice (HS) Claims</v>
      </c>
      <c r="E228" s="17">
        <v>1991</v>
      </c>
      <c r="F228" s="17">
        <v>2022</v>
      </c>
    </row>
    <row r="229" spans="1:6" x14ac:dyDescent="0.3">
      <c r="A229" s="13" t="s">
        <v>725</v>
      </c>
      <c r="B229" t="s">
        <v>293</v>
      </c>
      <c r="C229" s="13" t="s">
        <v>436</v>
      </c>
      <c r="D229" s="13" t="str">
        <f t="shared" si="3"/>
        <v>LINKAGEMedicare Inpatient (IP) Claims</v>
      </c>
      <c r="E229" s="17">
        <v>1991</v>
      </c>
      <c r="F229" s="17">
        <v>2022</v>
      </c>
    </row>
    <row r="230" spans="1:6" x14ac:dyDescent="0.3">
      <c r="A230" s="13" t="s">
        <v>725</v>
      </c>
      <c r="B230" t="s">
        <v>293</v>
      </c>
      <c r="C230" s="13" t="s">
        <v>437</v>
      </c>
      <c r="D230" s="13" t="str">
        <f t="shared" si="3"/>
        <v>LINKAGEMedicare Outpatient (OP) Claims</v>
      </c>
      <c r="E230" s="17">
        <v>1991</v>
      </c>
      <c r="F230" s="17">
        <v>2022</v>
      </c>
    </row>
    <row r="231" spans="1:6" x14ac:dyDescent="0.3">
      <c r="A231" s="13" t="s">
        <v>725</v>
      </c>
      <c r="B231" t="s">
        <v>293</v>
      </c>
      <c r="C231" s="13" t="s">
        <v>438</v>
      </c>
      <c r="D231" s="13" t="str">
        <f t="shared" si="3"/>
        <v>LINKAGEMedicare Skilled Nursing Facility (SN) Claims</v>
      </c>
      <c r="E231" s="17">
        <v>1991</v>
      </c>
      <c r="F231" s="17">
        <v>2022</v>
      </c>
    </row>
    <row r="232" spans="1:6" x14ac:dyDescent="0.3">
      <c r="A232" s="13" t="s">
        <v>725</v>
      </c>
      <c r="B232" t="s">
        <v>293</v>
      </c>
      <c r="C232" s="13" t="s">
        <v>715</v>
      </c>
      <c r="D232" s="13" t="str">
        <f t="shared" si="3"/>
        <v>LINKAGELINKAGE-Built Medicare Provider Analysis &amp; Review (MedPAR)</v>
      </c>
      <c r="E232" s="17">
        <v>1991</v>
      </c>
      <c r="F232" s="17">
        <v>2020</v>
      </c>
    </row>
    <row r="233" spans="1:6" x14ac:dyDescent="0.3">
      <c r="A233" s="13" t="s">
        <v>725</v>
      </c>
      <c r="B233" t="s">
        <v>294</v>
      </c>
      <c r="C233" s="13" t="s">
        <v>260</v>
      </c>
      <c r="D233" s="13" t="str">
        <f t="shared" si="3"/>
        <v>LINKAGEMedicare Carrier Encounter Claims</v>
      </c>
      <c r="E233" s="17">
        <v>2015</v>
      </c>
      <c r="F233" s="17">
        <v>2019</v>
      </c>
    </row>
    <row r="234" spans="1:6" x14ac:dyDescent="0.3">
      <c r="A234" s="13" t="s">
        <v>725</v>
      </c>
      <c r="B234" t="s">
        <v>294</v>
      </c>
      <c r="C234" s="13" t="s">
        <v>261</v>
      </c>
      <c r="D234" s="13" t="str">
        <f t="shared" si="3"/>
        <v>LINKAGEMedicare Durable Medical Equipment (DME) Encounter</v>
      </c>
      <c r="E234" s="17">
        <v>2015</v>
      </c>
      <c r="F234" s="17">
        <v>2019</v>
      </c>
    </row>
    <row r="235" spans="1:6" x14ac:dyDescent="0.3">
      <c r="A235" s="13" t="s">
        <v>725</v>
      </c>
      <c r="B235" t="s">
        <v>294</v>
      </c>
      <c r="C235" s="13" t="s">
        <v>262</v>
      </c>
      <c r="D235" s="13" t="str">
        <f t="shared" si="3"/>
        <v>LINKAGEMedicare Home Health Agency (HH) Encounter Claims</v>
      </c>
      <c r="E235" s="17">
        <v>2015</v>
      </c>
      <c r="F235" s="17">
        <v>2019</v>
      </c>
    </row>
    <row r="236" spans="1:6" x14ac:dyDescent="0.3">
      <c r="A236" s="13" t="s">
        <v>725</v>
      </c>
      <c r="B236" t="s">
        <v>294</v>
      </c>
      <c r="C236" s="13" t="s">
        <v>263</v>
      </c>
      <c r="D236" s="13" t="str">
        <f t="shared" si="3"/>
        <v>LINKAGEMedicare Inpatient (IP) Encounter Claims</v>
      </c>
      <c r="E236" s="17">
        <v>2015</v>
      </c>
      <c r="F236" s="17">
        <v>2019</v>
      </c>
    </row>
    <row r="237" spans="1:6" x14ac:dyDescent="0.3">
      <c r="A237" s="13" t="s">
        <v>725</v>
      </c>
      <c r="B237" t="s">
        <v>294</v>
      </c>
      <c r="C237" s="13" t="s">
        <v>264</v>
      </c>
      <c r="D237" s="13" t="str">
        <f t="shared" si="3"/>
        <v>LINKAGEMedicare Outpatient (OP) Encounter Claims</v>
      </c>
      <c r="E237" s="17">
        <v>2015</v>
      </c>
      <c r="F237" s="17">
        <v>2019</v>
      </c>
    </row>
    <row r="238" spans="1:6" x14ac:dyDescent="0.3">
      <c r="A238" s="13" t="s">
        <v>725</v>
      </c>
      <c r="B238" t="s">
        <v>294</v>
      </c>
      <c r="C238" s="13" t="s">
        <v>265</v>
      </c>
      <c r="D238" s="13" t="str">
        <f t="shared" si="3"/>
        <v>LINKAGEMedicare Skilled Nursing Facility (SNF) Encounter Claims</v>
      </c>
      <c r="E238" s="17">
        <v>2015</v>
      </c>
      <c r="F238" s="17">
        <v>2019</v>
      </c>
    </row>
    <row r="239" spans="1:6" x14ac:dyDescent="0.3">
      <c r="A239" s="13" t="s">
        <v>725</v>
      </c>
      <c r="B239" t="s">
        <v>266</v>
      </c>
      <c r="C239" s="13" t="s">
        <v>237</v>
      </c>
      <c r="D239" s="13" t="str">
        <f t="shared" si="3"/>
        <v>LINKAGEMedicare Part D Medication Therapy Management (MTM)</v>
      </c>
      <c r="E239" s="17">
        <v>2013</v>
      </c>
      <c r="F239" s="17">
        <v>2019</v>
      </c>
    </row>
    <row r="240" spans="1:6" x14ac:dyDescent="0.3">
      <c r="A240" s="13" t="s">
        <v>725</v>
      </c>
      <c r="B240" t="s">
        <v>295</v>
      </c>
      <c r="C240" s="13" t="s">
        <v>243</v>
      </c>
      <c r="D240" s="13" t="str">
        <f t="shared" si="3"/>
        <v>LINKAGEMedicaid Analytic eXtract (MAX) Inpatient (IP) Claims</v>
      </c>
      <c r="E240" s="17">
        <v>1999</v>
      </c>
      <c r="F240" s="17">
        <v>2015</v>
      </c>
    </row>
    <row r="241" spans="1:6" x14ac:dyDescent="0.3">
      <c r="A241" s="13" t="s">
        <v>725</v>
      </c>
      <c r="B241" t="s">
        <v>295</v>
      </c>
      <c r="C241" s="13" t="s">
        <v>244</v>
      </c>
      <c r="D241" s="13" t="str">
        <f t="shared" si="3"/>
        <v>LINKAGEMedicaid Analytic eXtract (MAX) Long Term Care (LT) Claims</v>
      </c>
      <c r="E241" s="17">
        <v>1999</v>
      </c>
      <c r="F241" s="17">
        <v>2015</v>
      </c>
    </row>
    <row r="242" spans="1:6" x14ac:dyDescent="0.3">
      <c r="A242" s="13" t="s">
        <v>725</v>
      </c>
      <c r="B242" t="s">
        <v>295</v>
      </c>
      <c r="C242" s="13" t="s">
        <v>245</v>
      </c>
      <c r="D242" s="13" t="str">
        <f t="shared" si="3"/>
        <v>LINKAGEMedicaid Analytic eXtract (MAX) Other Services (OT) Claims</v>
      </c>
      <c r="E242" s="17">
        <v>1999</v>
      </c>
      <c r="F242" s="17">
        <v>2015</v>
      </c>
    </row>
    <row r="243" spans="1:6" x14ac:dyDescent="0.3">
      <c r="A243" s="13" t="s">
        <v>725</v>
      </c>
      <c r="B243" t="s">
        <v>295</v>
      </c>
      <c r="C243" s="13" t="s">
        <v>248</v>
      </c>
      <c r="D243" s="13" t="str">
        <f t="shared" si="3"/>
        <v>LINKAGEMedicaid Analytic eXtract (MAX) Prescription Drug (RX) Data</v>
      </c>
      <c r="E243" s="17">
        <v>1999</v>
      </c>
      <c r="F243" s="17">
        <v>2015</v>
      </c>
    </row>
    <row r="244" spans="1:6" x14ac:dyDescent="0.3">
      <c r="A244" s="13" t="s">
        <v>725</v>
      </c>
      <c r="B244" t="s">
        <v>295</v>
      </c>
      <c r="C244" s="13" t="s">
        <v>268</v>
      </c>
      <c r="D244" s="13" t="str">
        <f t="shared" si="3"/>
        <v>LINKAGETMSIS Analytic Files (TAF) Inpatient (IP) Claims</v>
      </c>
      <c r="E244" s="17">
        <v>2014</v>
      </c>
      <c r="F244" s="17">
        <v>2019</v>
      </c>
    </row>
    <row r="245" spans="1:6" x14ac:dyDescent="0.3">
      <c r="A245" s="13" t="s">
        <v>725</v>
      </c>
      <c r="B245" t="s">
        <v>295</v>
      </c>
      <c r="C245" s="13" t="s">
        <v>269</v>
      </c>
      <c r="D245" s="13" t="str">
        <f t="shared" si="3"/>
        <v>LINKAGETMSIS Analytic Files (TAF) Long Term Care (LT) Claims</v>
      </c>
      <c r="E245" s="17">
        <v>2014</v>
      </c>
      <c r="F245" s="17">
        <v>2019</v>
      </c>
    </row>
    <row r="246" spans="1:6" x14ac:dyDescent="0.3">
      <c r="A246" s="13" t="s">
        <v>725</v>
      </c>
      <c r="B246" t="s">
        <v>295</v>
      </c>
      <c r="C246" s="13" t="s">
        <v>270</v>
      </c>
      <c r="D246" s="13" t="str">
        <f t="shared" si="3"/>
        <v>LINKAGETMSIS Analytic Files (TAF) Other Services (OT) Claims</v>
      </c>
      <c r="E246" s="17">
        <v>2014</v>
      </c>
      <c r="F246" s="17">
        <v>2019</v>
      </c>
    </row>
    <row r="247" spans="1:6" x14ac:dyDescent="0.3">
      <c r="A247" s="13" t="s">
        <v>725</v>
      </c>
      <c r="B247" t="s">
        <v>295</v>
      </c>
      <c r="C247" s="13" t="s">
        <v>271</v>
      </c>
      <c r="D247" s="13" t="str">
        <f t="shared" si="3"/>
        <v>LINKAGETMSIS Analytic Files (TAF) Pharmacy (RX) Data</v>
      </c>
      <c r="E247" s="17">
        <v>2014</v>
      </c>
      <c r="F247" s="17">
        <v>2019</v>
      </c>
    </row>
    <row r="248" spans="1:6" x14ac:dyDescent="0.3">
      <c r="A248" s="13" t="s">
        <v>725</v>
      </c>
      <c r="B248" t="s">
        <v>266</v>
      </c>
      <c r="C248" s="13" t="s">
        <v>365</v>
      </c>
      <c r="D248" s="13" t="str">
        <f t="shared" si="3"/>
        <v>LINKAGEPDE</v>
      </c>
      <c r="E248" s="17">
        <v>2006</v>
      </c>
      <c r="F248" s="17">
        <v>2022</v>
      </c>
    </row>
    <row r="249" spans="1:6" x14ac:dyDescent="0.3">
      <c r="A249" s="13" t="s">
        <v>725</v>
      </c>
      <c r="B249" t="s">
        <v>409</v>
      </c>
      <c r="C249" t="s">
        <v>299</v>
      </c>
      <c r="D249" s="13" t="str">
        <f t="shared" si="3"/>
        <v>LINKAGEIRF-PAI</v>
      </c>
      <c r="E249" s="17">
        <v>2002</v>
      </c>
      <c r="F249" s="17">
        <v>2020</v>
      </c>
    </row>
    <row r="250" spans="1:6" x14ac:dyDescent="0.3">
      <c r="A250" s="13" t="s">
        <v>725</v>
      </c>
      <c r="B250" t="s">
        <v>409</v>
      </c>
      <c r="C250" t="s">
        <v>38</v>
      </c>
      <c r="D250" s="13" t="str">
        <f t="shared" si="3"/>
        <v>LINKAGEMDS</v>
      </c>
      <c r="E250" s="17">
        <v>1999</v>
      </c>
      <c r="F250" s="17">
        <v>2022</v>
      </c>
    </row>
    <row r="251" spans="1:6" x14ac:dyDescent="0.3">
      <c r="A251" s="13" t="s">
        <v>725</v>
      </c>
      <c r="B251" t="s">
        <v>409</v>
      </c>
      <c r="C251" t="s">
        <v>357</v>
      </c>
      <c r="D251" s="13" t="str">
        <f t="shared" si="3"/>
        <v>LINKAGEOASIS</v>
      </c>
      <c r="E251" s="17">
        <v>1999</v>
      </c>
      <c r="F251" s="17">
        <v>2020</v>
      </c>
    </row>
    <row r="252" spans="1:6" s="17" customFormat="1" x14ac:dyDescent="0.3">
      <c r="A252" s="13" t="s">
        <v>725</v>
      </c>
      <c r="B252" s="17" t="s">
        <v>687</v>
      </c>
      <c r="C252" s="17" t="s">
        <v>687</v>
      </c>
      <c r="D252" s="13" t="str">
        <f t="shared" si="3"/>
        <v>LINKAGEHEDIS</v>
      </c>
      <c r="E252" s="13" t="s">
        <v>30</v>
      </c>
      <c r="F252" s="13" t="s">
        <v>30</v>
      </c>
    </row>
    <row r="253" spans="1:6" x14ac:dyDescent="0.3">
      <c r="A253" s="13" t="s">
        <v>224</v>
      </c>
      <c r="B253" t="s">
        <v>290</v>
      </c>
      <c r="C253" s="13" t="s">
        <v>83</v>
      </c>
      <c r="D253" s="13" t="str">
        <f t="shared" ref="D253:D287" si="4">CONCATENATE(A253,C253)</f>
        <v>UASDenominator (DN)</v>
      </c>
      <c r="E253" s="13" t="s">
        <v>30</v>
      </c>
      <c r="F253" s="13" t="s">
        <v>30</v>
      </c>
    </row>
    <row r="254" spans="1:6" x14ac:dyDescent="0.3">
      <c r="A254" s="13" t="s">
        <v>224</v>
      </c>
      <c r="B254" t="s">
        <v>290</v>
      </c>
      <c r="C254" s="13" t="s">
        <v>283</v>
      </c>
      <c r="D254" s="13" t="str">
        <f t="shared" si="4"/>
        <v>UASMaster Beneficiary Summary File (MBSF): Base – Segment (A/B/C/D)</v>
      </c>
      <c r="E254">
        <v>2013</v>
      </c>
      <c r="F254">
        <v>2021</v>
      </c>
    </row>
    <row r="255" spans="1:6" x14ac:dyDescent="0.3">
      <c r="A255" s="13" t="s">
        <v>224</v>
      </c>
      <c r="B255" t="s">
        <v>291</v>
      </c>
      <c r="C255" s="13" t="s">
        <v>284</v>
      </c>
      <c r="D255" s="13" t="str">
        <f t="shared" si="4"/>
        <v>UASMaster Beneficiary Summary File (MBSF): Chronic Conditions</v>
      </c>
      <c r="E255">
        <v>2013</v>
      </c>
      <c r="F255">
        <v>2020</v>
      </c>
    </row>
    <row r="256" spans="1:6" x14ac:dyDescent="0.3">
      <c r="A256" s="13" t="s">
        <v>224</v>
      </c>
      <c r="B256" t="s">
        <v>291</v>
      </c>
      <c r="C256" s="13" t="s">
        <v>285</v>
      </c>
      <c r="D256" s="13" t="str">
        <f t="shared" si="4"/>
        <v>UASMaster Beneficiary Summary File (MBSF): Cost &amp; Utilization</v>
      </c>
      <c r="E256" s="13" t="s">
        <v>30</v>
      </c>
      <c r="F256" s="13" t="s">
        <v>30</v>
      </c>
    </row>
    <row r="257" spans="1:6" x14ac:dyDescent="0.3">
      <c r="A257" s="13" t="s">
        <v>224</v>
      </c>
      <c r="B257" t="s">
        <v>291</v>
      </c>
      <c r="C257" s="13" t="s">
        <v>286</v>
      </c>
      <c r="D257" s="13" t="str">
        <f t="shared" si="4"/>
        <v xml:space="preserve">UASMaster Beneficiary Summary File (MBSF): Other Chronic or Potentially Disabling Conditions </v>
      </c>
      <c r="E257" s="13" t="s">
        <v>30</v>
      </c>
      <c r="F257" s="13" t="s">
        <v>30</v>
      </c>
    </row>
    <row r="258" spans="1:6" x14ac:dyDescent="0.3">
      <c r="A258" s="13" t="s">
        <v>224</v>
      </c>
      <c r="B258" t="s">
        <v>292</v>
      </c>
      <c r="C258" s="13" t="s">
        <v>246</v>
      </c>
      <c r="D258" s="13" t="str">
        <f t="shared" si="4"/>
        <v>UASMedicaid Analytic eXtract (MAX) Personal Summary (PS) Enrollment Data</v>
      </c>
      <c r="E258" s="13" t="s">
        <v>30</v>
      </c>
      <c r="F258" s="13" t="s">
        <v>30</v>
      </c>
    </row>
    <row r="259" spans="1:6" x14ac:dyDescent="0.3">
      <c r="A259" s="13" t="s">
        <v>224</v>
      </c>
      <c r="B259" t="s">
        <v>292</v>
      </c>
      <c r="C259" s="13" t="s">
        <v>267</v>
      </c>
      <c r="D259" s="13" t="str">
        <f t="shared" si="4"/>
        <v>UASTMSIS Analytic Files (TAF) Demographic and Eligibility (DE) Enrollment Data</v>
      </c>
      <c r="E259" s="13" t="s">
        <v>30</v>
      </c>
      <c r="F259" s="13" t="s">
        <v>30</v>
      </c>
    </row>
    <row r="260" spans="1:6" x14ac:dyDescent="0.3">
      <c r="A260" s="13" t="s">
        <v>224</v>
      </c>
      <c r="B260" t="s">
        <v>293</v>
      </c>
      <c r="C260" s="13" t="s">
        <v>432</v>
      </c>
      <c r="D260" s="13" t="str">
        <f t="shared" si="4"/>
        <v>UASMedicare Carrier (PB) Claims</v>
      </c>
      <c r="E260">
        <v>2013</v>
      </c>
      <c r="F260">
        <v>2021</v>
      </c>
    </row>
    <row r="261" spans="1:6" x14ac:dyDescent="0.3">
      <c r="A261" s="13" t="s">
        <v>224</v>
      </c>
      <c r="B261" t="s">
        <v>293</v>
      </c>
      <c r="C261" s="13" t="s">
        <v>433</v>
      </c>
      <c r="D261" s="13" t="str">
        <f t="shared" si="4"/>
        <v>UASMedicare Durable Medical Equipment (DM) Claims</v>
      </c>
      <c r="E261">
        <v>2013</v>
      </c>
      <c r="F261">
        <v>2021</v>
      </c>
    </row>
    <row r="262" spans="1:6" x14ac:dyDescent="0.3">
      <c r="A262" s="13" t="s">
        <v>224</v>
      </c>
      <c r="B262" t="s">
        <v>293</v>
      </c>
      <c r="C262" s="13" t="s">
        <v>434</v>
      </c>
      <c r="D262" s="13" t="str">
        <f t="shared" si="4"/>
        <v>UASMedicare Home Health (HH) Claims</v>
      </c>
      <c r="E262">
        <v>2013</v>
      </c>
      <c r="F262">
        <v>2021</v>
      </c>
    </row>
    <row r="263" spans="1:6" x14ac:dyDescent="0.3">
      <c r="A263" s="13" t="s">
        <v>224</v>
      </c>
      <c r="B263" t="s">
        <v>293</v>
      </c>
      <c r="C263" s="13" t="s">
        <v>435</v>
      </c>
      <c r="D263" s="13" t="str">
        <f t="shared" si="4"/>
        <v>UASMedicare Hospice (HS) Claims</v>
      </c>
      <c r="E263">
        <v>2013</v>
      </c>
      <c r="F263">
        <v>2021</v>
      </c>
    </row>
    <row r="264" spans="1:6" x14ac:dyDescent="0.3">
      <c r="A264" s="13" t="s">
        <v>224</v>
      </c>
      <c r="B264" t="s">
        <v>293</v>
      </c>
      <c r="C264" s="13" t="s">
        <v>436</v>
      </c>
      <c r="D264" s="13" t="str">
        <f t="shared" si="4"/>
        <v>UASMedicare Inpatient (IP) Claims</v>
      </c>
      <c r="E264">
        <v>2013</v>
      </c>
      <c r="F264">
        <v>2021</v>
      </c>
    </row>
    <row r="265" spans="1:6" x14ac:dyDescent="0.3">
      <c r="A265" s="13" t="s">
        <v>224</v>
      </c>
      <c r="B265" t="s">
        <v>293</v>
      </c>
      <c r="C265" s="13" t="s">
        <v>437</v>
      </c>
      <c r="D265" s="13" t="str">
        <f t="shared" si="4"/>
        <v>UASMedicare Outpatient (OP) Claims</v>
      </c>
      <c r="E265">
        <v>2013</v>
      </c>
      <c r="F265">
        <v>2021</v>
      </c>
    </row>
    <row r="266" spans="1:6" x14ac:dyDescent="0.3">
      <c r="A266" s="13" t="s">
        <v>224</v>
      </c>
      <c r="B266" t="s">
        <v>293</v>
      </c>
      <c r="C266" s="13" t="s">
        <v>438</v>
      </c>
      <c r="D266" s="13" t="str">
        <f t="shared" si="4"/>
        <v>UASMedicare Skilled Nursing Facility (SN) Claims</v>
      </c>
      <c r="E266">
        <v>2013</v>
      </c>
      <c r="F266">
        <v>2021</v>
      </c>
    </row>
    <row r="267" spans="1:6" x14ac:dyDescent="0.3">
      <c r="A267" s="13" t="s">
        <v>224</v>
      </c>
      <c r="B267" t="s">
        <v>293</v>
      </c>
      <c r="C267" s="13" t="s">
        <v>715</v>
      </c>
      <c r="D267" s="13" t="str">
        <f t="shared" si="4"/>
        <v>UASLINKAGE-Built Medicare Provider Analysis &amp; Review (MedPAR)</v>
      </c>
      <c r="E267">
        <v>2013</v>
      </c>
      <c r="F267">
        <v>2020</v>
      </c>
    </row>
    <row r="268" spans="1:6" x14ac:dyDescent="0.3">
      <c r="A268" s="13" t="s">
        <v>224</v>
      </c>
      <c r="B268" t="s">
        <v>294</v>
      </c>
      <c r="C268" s="13" t="s">
        <v>260</v>
      </c>
      <c r="D268" s="13" t="str">
        <f t="shared" si="4"/>
        <v>UASMedicare Carrier Encounter Claims</v>
      </c>
      <c r="E268">
        <v>2015</v>
      </c>
      <c r="F268">
        <v>2019</v>
      </c>
    </row>
    <row r="269" spans="1:6" x14ac:dyDescent="0.3">
      <c r="A269" s="13" t="s">
        <v>224</v>
      </c>
      <c r="B269" t="s">
        <v>294</v>
      </c>
      <c r="C269" s="13" t="s">
        <v>261</v>
      </c>
      <c r="D269" s="13" t="str">
        <f t="shared" si="4"/>
        <v>UASMedicare Durable Medical Equipment (DME) Encounter</v>
      </c>
      <c r="E269">
        <v>2015</v>
      </c>
      <c r="F269">
        <v>2019</v>
      </c>
    </row>
    <row r="270" spans="1:6" x14ac:dyDescent="0.3">
      <c r="A270" s="13" t="s">
        <v>224</v>
      </c>
      <c r="B270" t="s">
        <v>294</v>
      </c>
      <c r="C270" s="13" t="s">
        <v>262</v>
      </c>
      <c r="D270" s="13" t="str">
        <f t="shared" si="4"/>
        <v>UASMedicare Home Health Agency (HH) Encounter Claims</v>
      </c>
      <c r="E270">
        <v>2015</v>
      </c>
      <c r="F270">
        <v>2019</v>
      </c>
    </row>
    <row r="271" spans="1:6" x14ac:dyDescent="0.3">
      <c r="A271" s="13" t="s">
        <v>224</v>
      </c>
      <c r="B271" t="s">
        <v>294</v>
      </c>
      <c r="C271" s="13" t="s">
        <v>263</v>
      </c>
      <c r="D271" s="13" t="str">
        <f t="shared" si="4"/>
        <v>UASMedicare Inpatient (IP) Encounter Claims</v>
      </c>
      <c r="E271">
        <v>2015</v>
      </c>
      <c r="F271">
        <v>2019</v>
      </c>
    </row>
    <row r="272" spans="1:6" x14ac:dyDescent="0.3">
      <c r="A272" s="13" t="s">
        <v>224</v>
      </c>
      <c r="B272" t="s">
        <v>294</v>
      </c>
      <c r="C272" s="13" t="s">
        <v>264</v>
      </c>
      <c r="D272" s="13" t="str">
        <f t="shared" si="4"/>
        <v>UASMedicare Outpatient (OP) Encounter Claims</v>
      </c>
      <c r="E272">
        <v>2015</v>
      </c>
      <c r="F272">
        <v>2019</v>
      </c>
    </row>
    <row r="273" spans="1:6" x14ac:dyDescent="0.3">
      <c r="A273" s="13" t="s">
        <v>224</v>
      </c>
      <c r="B273" t="s">
        <v>294</v>
      </c>
      <c r="C273" s="13" t="s">
        <v>265</v>
      </c>
      <c r="D273" s="13" t="str">
        <f t="shared" si="4"/>
        <v>UASMedicare Skilled Nursing Facility (SNF) Encounter Claims</v>
      </c>
      <c r="E273">
        <v>2015</v>
      </c>
      <c r="F273">
        <v>2019</v>
      </c>
    </row>
    <row r="274" spans="1:6" x14ac:dyDescent="0.3">
      <c r="A274" s="13" t="s">
        <v>224</v>
      </c>
      <c r="B274" t="s">
        <v>266</v>
      </c>
      <c r="C274" s="13" t="s">
        <v>237</v>
      </c>
      <c r="D274" s="13" t="str">
        <f t="shared" si="4"/>
        <v>UASMedicare Part D Medication Therapy Management (MTM)</v>
      </c>
      <c r="E274" s="13" t="s">
        <v>30</v>
      </c>
      <c r="F274" s="13" t="s">
        <v>30</v>
      </c>
    </row>
    <row r="275" spans="1:6" x14ac:dyDescent="0.3">
      <c r="A275" s="13" t="s">
        <v>224</v>
      </c>
      <c r="B275" t="s">
        <v>295</v>
      </c>
      <c r="C275" s="13" t="s">
        <v>243</v>
      </c>
      <c r="D275" s="13" t="str">
        <f t="shared" si="4"/>
        <v>UASMedicaid Analytic eXtract (MAX) Inpatient (IP) Claims</v>
      </c>
      <c r="E275" s="13" t="s">
        <v>30</v>
      </c>
      <c r="F275" s="13" t="s">
        <v>30</v>
      </c>
    </row>
    <row r="276" spans="1:6" x14ac:dyDescent="0.3">
      <c r="A276" s="13" t="s">
        <v>224</v>
      </c>
      <c r="B276" t="s">
        <v>295</v>
      </c>
      <c r="C276" s="13" t="s">
        <v>244</v>
      </c>
      <c r="D276" s="13" t="str">
        <f t="shared" si="4"/>
        <v>UASMedicaid Analytic eXtract (MAX) Long Term Care (LT) Claims</v>
      </c>
      <c r="E276" s="13" t="s">
        <v>30</v>
      </c>
      <c r="F276" s="13" t="s">
        <v>30</v>
      </c>
    </row>
    <row r="277" spans="1:6" x14ac:dyDescent="0.3">
      <c r="A277" s="13" t="s">
        <v>224</v>
      </c>
      <c r="B277" t="s">
        <v>295</v>
      </c>
      <c r="C277" s="13" t="s">
        <v>245</v>
      </c>
      <c r="D277" s="13" t="str">
        <f t="shared" si="4"/>
        <v>UASMedicaid Analytic eXtract (MAX) Other Services (OT) Claims</v>
      </c>
      <c r="E277" s="13" t="s">
        <v>30</v>
      </c>
      <c r="F277" s="13" t="s">
        <v>30</v>
      </c>
    </row>
    <row r="278" spans="1:6" x14ac:dyDescent="0.3">
      <c r="A278" s="13" t="s">
        <v>224</v>
      </c>
      <c r="B278" t="s">
        <v>295</v>
      </c>
      <c r="C278" s="13" t="s">
        <v>248</v>
      </c>
      <c r="D278" s="13" t="str">
        <f t="shared" si="4"/>
        <v>UASMedicaid Analytic eXtract (MAX) Prescription Drug (RX) Data</v>
      </c>
      <c r="E278" s="13" t="s">
        <v>30</v>
      </c>
      <c r="F278" s="13" t="s">
        <v>30</v>
      </c>
    </row>
    <row r="279" spans="1:6" x14ac:dyDescent="0.3">
      <c r="A279" s="13" t="s">
        <v>224</v>
      </c>
      <c r="B279" t="s">
        <v>295</v>
      </c>
      <c r="C279" s="13" t="s">
        <v>268</v>
      </c>
      <c r="D279" s="13" t="str">
        <f t="shared" si="4"/>
        <v>UASTMSIS Analytic Files (TAF) Inpatient (IP) Claims</v>
      </c>
      <c r="E279" s="13" t="s">
        <v>30</v>
      </c>
      <c r="F279" s="13" t="s">
        <v>30</v>
      </c>
    </row>
    <row r="280" spans="1:6" x14ac:dyDescent="0.3">
      <c r="A280" s="13" t="s">
        <v>224</v>
      </c>
      <c r="B280" t="s">
        <v>295</v>
      </c>
      <c r="C280" s="13" t="s">
        <v>269</v>
      </c>
      <c r="D280" s="13" t="str">
        <f t="shared" si="4"/>
        <v>UASTMSIS Analytic Files (TAF) Long Term Care (LT) Claims</v>
      </c>
      <c r="E280" s="13" t="s">
        <v>30</v>
      </c>
      <c r="F280" s="13" t="s">
        <v>30</v>
      </c>
    </row>
    <row r="281" spans="1:6" x14ac:dyDescent="0.3">
      <c r="A281" s="13" t="s">
        <v>224</v>
      </c>
      <c r="B281" t="s">
        <v>295</v>
      </c>
      <c r="C281" s="13" t="s">
        <v>270</v>
      </c>
      <c r="D281" s="13" t="str">
        <f t="shared" si="4"/>
        <v>UASTMSIS Analytic Files (TAF) Other Services (OT) Claims</v>
      </c>
      <c r="E281" s="13" t="s">
        <v>30</v>
      </c>
      <c r="F281" s="13" t="s">
        <v>30</v>
      </c>
    </row>
    <row r="282" spans="1:6" x14ac:dyDescent="0.3">
      <c r="A282" s="13" t="s">
        <v>224</v>
      </c>
      <c r="B282" t="s">
        <v>295</v>
      </c>
      <c r="C282" s="13" t="s">
        <v>271</v>
      </c>
      <c r="D282" s="13" t="str">
        <f t="shared" si="4"/>
        <v>UASTMSIS Analytic Files (TAF) Pharmacy (RX) Data</v>
      </c>
      <c r="E282" s="13" t="s">
        <v>30</v>
      </c>
      <c r="F282" s="13" t="s">
        <v>30</v>
      </c>
    </row>
    <row r="283" spans="1:6" x14ac:dyDescent="0.3">
      <c r="A283" s="13" t="s">
        <v>224</v>
      </c>
      <c r="B283" t="s">
        <v>266</v>
      </c>
      <c r="C283" s="13" t="s">
        <v>365</v>
      </c>
      <c r="D283" s="13" t="str">
        <f t="shared" si="4"/>
        <v>UASPDE</v>
      </c>
      <c r="E283">
        <v>2013</v>
      </c>
      <c r="F283">
        <v>2021</v>
      </c>
    </row>
    <row r="284" spans="1:6" x14ac:dyDescent="0.3">
      <c r="A284" s="13" t="s">
        <v>224</v>
      </c>
      <c r="B284" t="s">
        <v>409</v>
      </c>
      <c r="C284" t="s">
        <v>299</v>
      </c>
      <c r="D284" s="13" t="str">
        <f t="shared" si="4"/>
        <v>UASIRF-PAI</v>
      </c>
      <c r="E284" s="13" t="s">
        <v>30</v>
      </c>
      <c r="F284" s="13" t="s">
        <v>30</v>
      </c>
    </row>
    <row r="285" spans="1:6" x14ac:dyDescent="0.3">
      <c r="A285" s="13" t="s">
        <v>224</v>
      </c>
      <c r="B285" t="s">
        <v>409</v>
      </c>
      <c r="C285" t="s">
        <v>38</v>
      </c>
      <c r="D285" s="13" t="str">
        <f t="shared" si="4"/>
        <v>UASMDS</v>
      </c>
      <c r="E285" s="13">
        <v>2014</v>
      </c>
      <c r="F285" s="13">
        <v>2021</v>
      </c>
    </row>
    <row r="286" spans="1:6" x14ac:dyDescent="0.3">
      <c r="A286" s="13" t="s">
        <v>224</v>
      </c>
      <c r="B286" t="s">
        <v>409</v>
      </c>
      <c r="C286" t="s">
        <v>357</v>
      </c>
      <c r="D286" s="13" t="str">
        <f t="shared" si="4"/>
        <v>UASOASIS</v>
      </c>
      <c r="E286" s="13" t="s">
        <v>30</v>
      </c>
      <c r="F286" s="13" t="s">
        <v>30</v>
      </c>
    </row>
    <row r="287" spans="1:6" s="17" customFormat="1" x14ac:dyDescent="0.3">
      <c r="A287" s="13" t="s">
        <v>224</v>
      </c>
      <c r="B287" s="17" t="s">
        <v>687</v>
      </c>
      <c r="C287" s="17" t="s">
        <v>687</v>
      </c>
      <c r="D287" s="13" t="str">
        <f t="shared" si="4"/>
        <v>UASHEDIS</v>
      </c>
      <c r="E287" s="13" t="s">
        <v>30</v>
      </c>
      <c r="F287" s="13" t="s">
        <v>30</v>
      </c>
    </row>
    <row r="288" spans="1:6" x14ac:dyDescent="0.3">
      <c r="A288" s="13" t="s">
        <v>218</v>
      </c>
      <c r="B288" t="s">
        <v>290</v>
      </c>
      <c r="C288" s="13" t="s">
        <v>83</v>
      </c>
      <c r="D288" s="13" t="str">
        <f t="shared" ref="D288:D322" si="5">CONCATENATE(A288,C288)</f>
        <v>MIDUSDenominator (DN)</v>
      </c>
      <c r="E288">
        <v>1991</v>
      </c>
      <c r="F288">
        <v>1998</v>
      </c>
    </row>
    <row r="289" spans="1:6" x14ac:dyDescent="0.3">
      <c r="A289" s="13" t="s">
        <v>218</v>
      </c>
      <c r="B289" t="s">
        <v>290</v>
      </c>
      <c r="C289" s="13" t="s">
        <v>283</v>
      </c>
      <c r="D289" s="13" t="str">
        <f t="shared" si="5"/>
        <v>MIDUSMaster Beneficiary Summary File (MBSF): Base – Segment (A/B/C/D)</v>
      </c>
      <c r="E289">
        <v>1999</v>
      </c>
      <c r="F289">
        <v>2021</v>
      </c>
    </row>
    <row r="290" spans="1:6" x14ac:dyDescent="0.3">
      <c r="A290" s="13" t="s">
        <v>218</v>
      </c>
      <c r="B290" t="s">
        <v>291</v>
      </c>
      <c r="C290" s="13" t="s">
        <v>284</v>
      </c>
      <c r="D290" s="13" t="str">
        <f t="shared" si="5"/>
        <v>MIDUSMaster Beneficiary Summary File (MBSF): Chronic Conditions</v>
      </c>
      <c r="E290">
        <v>1999</v>
      </c>
      <c r="F290">
        <v>2020</v>
      </c>
    </row>
    <row r="291" spans="1:6" x14ac:dyDescent="0.3">
      <c r="A291" s="13" t="s">
        <v>218</v>
      </c>
      <c r="B291" t="s">
        <v>291</v>
      </c>
      <c r="C291" s="13" t="s">
        <v>285</v>
      </c>
      <c r="D291" s="13" t="str">
        <f t="shared" si="5"/>
        <v>MIDUSMaster Beneficiary Summary File (MBSF): Cost &amp; Utilization</v>
      </c>
      <c r="E291">
        <v>1999</v>
      </c>
      <c r="F291">
        <v>2020</v>
      </c>
    </row>
    <row r="292" spans="1:6" x14ac:dyDescent="0.3">
      <c r="A292" s="13" t="s">
        <v>218</v>
      </c>
      <c r="B292" t="s">
        <v>291</v>
      </c>
      <c r="C292" s="13" t="s">
        <v>286</v>
      </c>
      <c r="D292" s="13" t="str">
        <f t="shared" si="5"/>
        <v xml:space="preserve">MIDUSMaster Beneficiary Summary File (MBSF): Other Chronic or Potentially Disabling Conditions </v>
      </c>
      <c r="E292">
        <v>2000</v>
      </c>
      <c r="F292">
        <v>2020</v>
      </c>
    </row>
    <row r="293" spans="1:6" x14ac:dyDescent="0.3">
      <c r="A293" s="13" t="s">
        <v>218</v>
      </c>
      <c r="B293" t="s">
        <v>292</v>
      </c>
      <c r="C293" s="13" t="s">
        <v>246</v>
      </c>
      <c r="D293" s="13" t="str">
        <f t="shared" si="5"/>
        <v>MIDUSMedicaid Analytic eXtract (MAX) Personal Summary (PS) Enrollment Data</v>
      </c>
      <c r="E293">
        <v>1999</v>
      </c>
      <c r="F293">
        <v>2015</v>
      </c>
    </row>
    <row r="294" spans="1:6" x14ac:dyDescent="0.3">
      <c r="A294" s="13" t="s">
        <v>218</v>
      </c>
      <c r="B294" t="s">
        <v>292</v>
      </c>
      <c r="C294" s="13" t="s">
        <v>267</v>
      </c>
      <c r="D294" s="13" t="str">
        <f t="shared" si="5"/>
        <v>MIDUSTMSIS Analytic Files (TAF) Demographic and Eligibility (DE) Enrollment Data</v>
      </c>
      <c r="E294">
        <v>2014</v>
      </c>
      <c r="F294">
        <v>2019</v>
      </c>
    </row>
    <row r="295" spans="1:6" x14ac:dyDescent="0.3">
      <c r="A295" s="13" t="s">
        <v>218</v>
      </c>
      <c r="B295" t="s">
        <v>293</v>
      </c>
      <c r="C295" s="13" t="s">
        <v>432</v>
      </c>
      <c r="D295" s="13" t="str">
        <f t="shared" si="5"/>
        <v>MIDUSMedicare Carrier (PB) Claims</v>
      </c>
      <c r="E295">
        <v>1991</v>
      </c>
      <c r="F295">
        <v>2021</v>
      </c>
    </row>
    <row r="296" spans="1:6" x14ac:dyDescent="0.3">
      <c r="A296" s="13" t="s">
        <v>218</v>
      </c>
      <c r="B296" t="s">
        <v>293</v>
      </c>
      <c r="C296" s="13" t="s">
        <v>433</v>
      </c>
      <c r="D296" s="13" t="str">
        <f t="shared" si="5"/>
        <v>MIDUSMedicare Durable Medical Equipment (DM) Claims</v>
      </c>
      <c r="E296">
        <v>1991</v>
      </c>
      <c r="F296">
        <v>2021</v>
      </c>
    </row>
    <row r="297" spans="1:6" x14ac:dyDescent="0.3">
      <c r="A297" s="13" t="s">
        <v>218</v>
      </c>
      <c r="B297" t="s">
        <v>293</v>
      </c>
      <c r="C297" s="13" t="s">
        <v>434</v>
      </c>
      <c r="D297" s="13" t="str">
        <f t="shared" si="5"/>
        <v>MIDUSMedicare Home Health (HH) Claims</v>
      </c>
      <c r="E297">
        <v>1991</v>
      </c>
      <c r="F297">
        <v>2021</v>
      </c>
    </row>
    <row r="298" spans="1:6" x14ac:dyDescent="0.3">
      <c r="A298" s="13" t="s">
        <v>218</v>
      </c>
      <c r="B298" t="s">
        <v>293</v>
      </c>
      <c r="C298" s="13" t="s">
        <v>435</v>
      </c>
      <c r="D298" s="13" t="str">
        <f t="shared" si="5"/>
        <v>MIDUSMedicare Hospice (HS) Claims</v>
      </c>
      <c r="E298">
        <v>1991</v>
      </c>
      <c r="F298">
        <v>2021</v>
      </c>
    </row>
    <row r="299" spans="1:6" x14ac:dyDescent="0.3">
      <c r="A299" s="13" t="s">
        <v>218</v>
      </c>
      <c r="B299" t="s">
        <v>293</v>
      </c>
      <c r="C299" s="13" t="s">
        <v>436</v>
      </c>
      <c r="D299" s="13" t="str">
        <f t="shared" si="5"/>
        <v>MIDUSMedicare Inpatient (IP) Claims</v>
      </c>
      <c r="E299">
        <v>1991</v>
      </c>
      <c r="F299">
        <v>2021</v>
      </c>
    </row>
    <row r="300" spans="1:6" x14ac:dyDescent="0.3">
      <c r="A300" s="13" t="s">
        <v>218</v>
      </c>
      <c r="B300" t="s">
        <v>293</v>
      </c>
      <c r="C300" s="13" t="s">
        <v>437</v>
      </c>
      <c r="D300" s="13" t="str">
        <f t="shared" si="5"/>
        <v>MIDUSMedicare Outpatient (OP) Claims</v>
      </c>
      <c r="E300">
        <v>1991</v>
      </c>
      <c r="F300">
        <v>2021</v>
      </c>
    </row>
    <row r="301" spans="1:6" x14ac:dyDescent="0.3">
      <c r="A301" s="13" t="s">
        <v>218</v>
      </c>
      <c r="B301" t="s">
        <v>293</v>
      </c>
      <c r="C301" s="13" t="s">
        <v>438</v>
      </c>
      <c r="D301" s="13" t="str">
        <f t="shared" si="5"/>
        <v>MIDUSMedicare Skilled Nursing Facility (SN) Claims</v>
      </c>
      <c r="E301">
        <v>1991</v>
      </c>
      <c r="F301">
        <v>2021</v>
      </c>
    </row>
    <row r="302" spans="1:6" x14ac:dyDescent="0.3">
      <c r="A302" s="13" t="s">
        <v>218</v>
      </c>
      <c r="B302" t="s">
        <v>293</v>
      </c>
      <c r="C302" s="13" t="s">
        <v>715</v>
      </c>
      <c r="D302" s="13" t="str">
        <f t="shared" si="5"/>
        <v>MIDUSLINKAGE-Built Medicare Provider Analysis &amp; Review (MedPAR)</v>
      </c>
      <c r="E302">
        <v>1991</v>
      </c>
      <c r="F302">
        <v>2020</v>
      </c>
    </row>
    <row r="303" spans="1:6" x14ac:dyDescent="0.3">
      <c r="A303" s="13" t="s">
        <v>218</v>
      </c>
      <c r="B303" t="s">
        <v>294</v>
      </c>
      <c r="C303" s="13" t="s">
        <v>260</v>
      </c>
      <c r="D303" s="13" t="str">
        <f t="shared" si="5"/>
        <v>MIDUSMedicare Carrier Encounter Claims</v>
      </c>
      <c r="E303">
        <v>2015</v>
      </c>
      <c r="F303">
        <v>2019</v>
      </c>
    </row>
    <row r="304" spans="1:6" x14ac:dyDescent="0.3">
      <c r="A304" s="13" t="s">
        <v>218</v>
      </c>
      <c r="B304" t="s">
        <v>294</v>
      </c>
      <c r="C304" s="13" t="s">
        <v>261</v>
      </c>
      <c r="D304" s="13" t="str">
        <f t="shared" si="5"/>
        <v>MIDUSMedicare Durable Medical Equipment (DME) Encounter</v>
      </c>
      <c r="E304">
        <v>2015</v>
      </c>
      <c r="F304">
        <v>2019</v>
      </c>
    </row>
    <row r="305" spans="1:6" x14ac:dyDescent="0.3">
      <c r="A305" s="13" t="s">
        <v>218</v>
      </c>
      <c r="B305" t="s">
        <v>294</v>
      </c>
      <c r="C305" s="13" t="s">
        <v>262</v>
      </c>
      <c r="D305" s="13" t="str">
        <f t="shared" si="5"/>
        <v>MIDUSMedicare Home Health Agency (HH) Encounter Claims</v>
      </c>
      <c r="E305">
        <v>2015</v>
      </c>
      <c r="F305">
        <v>2019</v>
      </c>
    </row>
    <row r="306" spans="1:6" x14ac:dyDescent="0.3">
      <c r="A306" s="13" t="s">
        <v>218</v>
      </c>
      <c r="B306" t="s">
        <v>294</v>
      </c>
      <c r="C306" s="13" t="s">
        <v>263</v>
      </c>
      <c r="D306" s="13" t="str">
        <f t="shared" si="5"/>
        <v>MIDUSMedicare Inpatient (IP) Encounter Claims</v>
      </c>
      <c r="E306">
        <v>2015</v>
      </c>
      <c r="F306">
        <v>2019</v>
      </c>
    </row>
    <row r="307" spans="1:6" x14ac:dyDescent="0.3">
      <c r="A307" s="13" t="s">
        <v>218</v>
      </c>
      <c r="B307" t="s">
        <v>294</v>
      </c>
      <c r="C307" s="13" t="s">
        <v>264</v>
      </c>
      <c r="D307" s="13" t="str">
        <f t="shared" si="5"/>
        <v>MIDUSMedicare Outpatient (OP) Encounter Claims</v>
      </c>
      <c r="E307">
        <v>2015</v>
      </c>
      <c r="F307">
        <v>2019</v>
      </c>
    </row>
    <row r="308" spans="1:6" x14ac:dyDescent="0.3">
      <c r="A308" s="13" t="s">
        <v>218</v>
      </c>
      <c r="B308" t="s">
        <v>294</v>
      </c>
      <c r="C308" s="13" t="s">
        <v>265</v>
      </c>
      <c r="D308" s="13" t="str">
        <f t="shared" si="5"/>
        <v>MIDUSMedicare Skilled Nursing Facility (SNF) Encounter Claims</v>
      </c>
      <c r="E308">
        <v>2015</v>
      </c>
      <c r="F308">
        <v>2019</v>
      </c>
    </row>
    <row r="309" spans="1:6" x14ac:dyDescent="0.3">
      <c r="A309" s="13" t="s">
        <v>218</v>
      </c>
      <c r="B309" t="s">
        <v>266</v>
      </c>
      <c r="C309" s="13" t="s">
        <v>237</v>
      </c>
      <c r="D309" s="13" t="str">
        <f t="shared" si="5"/>
        <v>MIDUSMedicare Part D Medication Therapy Management (MTM)</v>
      </c>
      <c r="E309">
        <v>2013</v>
      </c>
      <c r="F309">
        <v>2019</v>
      </c>
    </row>
    <row r="310" spans="1:6" x14ac:dyDescent="0.3">
      <c r="A310" s="13" t="s">
        <v>218</v>
      </c>
      <c r="B310" t="s">
        <v>295</v>
      </c>
      <c r="C310" s="13" t="s">
        <v>243</v>
      </c>
      <c r="D310" s="13" t="str">
        <f t="shared" si="5"/>
        <v>MIDUSMedicaid Analytic eXtract (MAX) Inpatient (IP) Claims</v>
      </c>
      <c r="E310">
        <v>1999</v>
      </c>
      <c r="F310">
        <v>2015</v>
      </c>
    </row>
    <row r="311" spans="1:6" x14ac:dyDescent="0.3">
      <c r="A311" s="13" t="s">
        <v>218</v>
      </c>
      <c r="B311" t="s">
        <v>295</v>
      </c>
      <c r="C311" s="13" t="s">
        <v>244</v>
      </c>
      <c r="D311" s="13" t="str">
        <f t="shared" si="5"/>
        <v>MIDUSMedicaid Analytic eXtract (MAX) Long Term Care (LT) Claims</v>
      </c>
      <c r="E311">
        <v>1999</v>
      </c>
      <c r="F311">
        <v>2015</v>
      </c>
    </row>
    <row r="312" spans="1:6" x14ac:dyDescent="0.3">
      <c r="A312" s="13" t="s">
        <v>218</v>
      </c>
      <c r="B312" t="s">
        <v>295</v>
      </c>
      <c r="C312" s="13" t="s">
        <v>245</v>
      </c>
      <c r="D312" s="13" t="str">
        <f t="shared" si="5"/>
        <v>MIDUSMedicaid Analytic eXtract (MAX) Other Services (OT) Claims</v>
      </c>
      <c r="E312">
        <v>1999</v>
      </c>
      <c r="F312">
        <v>2015</v>
      </c>
    </row>
    <row r="313" spans="1:6" x14ac:dyDescent="0.3">
      <c r="A313" s="13" t="s">
        <v>218</v>
      </c>
      <c r="B313" t="s">
        <v>295</v>
      </c>
      <c r="C313" s="13" t="s">
        <v>248</v>
      </c>
      <c r="D313" s="13" t="str">
        <f t="shared" si="5"/>
        <v>MIDUSMedicaid Analytic eXtract (MAX) Prescription Drug (RX) Data</v>
      </c>
      <c r="E313">
        <v>1999</v>
      </c>
      <c r="F313">
        <v>2015</v>
      </c>
    </row>
    <row r="314" spans="1:6" x14ac:dyDescent="0.3">
      <c r="A314" s="13" t="s">
        <v>218</v>
      </c>
      <c r="B314" t="s">
        <v>295</v>
      </c>
      <c r="C314" s="13" t="s">
        <v>268</v>
      </c>
      <c r="D314" s="13" t="str">
        <f t="shared" si="5"/>
        <v>MIDUSTMSIS Analytic Files (TAF) Inpatient (IP) Claims</v>
      </c>
      <c r="E314">
        <v>2014</v>
      </c>
      <c r="F314">
        <v>2019</v>
      </c>
    </row>
    <row r="315" spans="1:6" x14ac:dyDescent="0.3">
      <c r="A315" s="13" t="s">
        <v>218</v>
      </c>
      <c r="B315" t="s">
        <v>295</v>
      </c>
      <c r="C315" s="13" t="s">
        <v>269</v>
      </c>
      <c r="D315" s="13" t="str">
        <f t="shared" si="5"/>
        <v>MIDUSTMSIS Analytic Files (TAF) Long Term Care (LT) Claims</v>
      </c>
      <c r="E315">
        <v>2014</v>
      </c>
      <c r="F315">
        <v>2019</v>
      </c>
    </row>
    <row r="316" spans="1:6" x14ac:dyDescent="0.3">
      <c r="A316" s="13" t="s">
        <v>218</v>
      </c>
      <c r="B316" t="s">
        <v>295</v>
      </c>
      <c r="C316" s="13" t="s">
        <v>270</v>
      </c>
      <c r="D316" s="13" t="str">
        <f t="shared" si="5"/>
        <v>MIDUSTMSIS Analytic Files (TAF) Other Services (OT) Claims</v>
      </c>
      <c r="E316">
        <v>2014</v>
      </c>
      <c r="F316">
        <v>2019</v>
      </c>
    </row>
    <row r="317" spans="1:6" x14ac:dyDescent="0.3">
      <c r="A317" s="13" t="s">
        <v>218</v>
      </c>
      <c r="B317" t="s">
        <v>295</v>
      </c>
      <c r="C317" s="13" t="s">
        <v>271</v>
      </c>
      <c r="D317" s="13" t="str">
        <f t="shared" si="5"/>
        <v>MIDUSTMSIS Analytic Files (TAF) Pharmacy (RX) Data</v>
      </c>
      <c r="E317">
        <v>2014</v>
      </c>
      <c r="F317">
        <v>2019</v>
      </c>
    </row>
    <row r="318" spans="1:6" x14ac:dyDescent="0.3">
      <c r="A318" s="13" t="s">
        <v>218</v>
      </c>
      <c r="B318" t="s">
        <v>266</v>
      </c>
      <c r="C318" s="13" t="s">
        <v>365</v>
      </c>
      <c r="D318" s="13" t="str">
        <f t="shared" si="5"/>
        <v>MIDUSPDE</v>
      </c>
      <c r="E318">
        <v>2006</v>
      </c>
      <c r="F318">
        <v>2021</v>
      </c>
    </row>
    <row r="319" spans="1:6" x14ac:dyDescent="0.3">
      <c r="A319" s="13" t="s">
        <v>218</v>
      </c>
      <c r="B319" t="s">
        <v>409</v>
      </c>
      <c r="C319" t="s">
        <v>299</v>
      </c>
      <c r="D319" s="13" t="str">
        <f t="shared" si="5"/>
        <v>MIDUSIRF-PAI</v>
      </c>
      <c r="E319">
        <v>2002</v>
      </c>
      <c r="F319">
        <v>2020</v>
      </c>
    </row>
    <row r="320" spans="1:6" x14ac:dyDescent="0.3">
      <c r="A320" s="13" t="s">
        <v>218</v>
      </c>
      <c r="B320" t="s">
        <v>409</v>
      </c>
      <c r="C320" t="s">
        <v>38</v>
      </c>
      <c r="D320" s="13" t="str">
        <f t="shared" si="5"/>
        <v>MIDUSMDS</v>
      </c>
      <c r="E320">
        <v>1999</v>
      </c>
      <c r="F320">
        <v>2021</v>
      </c>
    </row>
    <row r="321" spans="1:6" x14ac:dyDescent="0.3">
      <c r="A321" s="13" t="s">
        <v>218</v>
      </c>
      <c r="B321" t="s">
        <v>409</v>
      </c>
      <c r="C321" t="s">
        <v>357</v>
      </c>
      <c r="D321" s="13" t="str">
        <f t="shared" si="5"/>
        <v>MIDUSOASIS</v>
      </c>
      <c r="E321">
        <v>1999</v>
      </c>
      <c r="F321">
        <v>2020</v>
      </c>
    </row>
    <row r="322" spans="1:6" s="17" customFormat="1" x14ac:dyDescent="0.3">
      <c r="A322" s="13" t="s">
        <v>218</v>
      </c>
      <c r="B322" s="17" t="s">
        <v>687</v>
      </c>
      <c r="C322" s="17" t="s">
        <v>687</v>
      </c>
      <c r="D322" s="13" t="str">
        <f t="shared" si="5"/>
        <v>MIDUSHEDIS</v>
      </c>
      <c r="E322" s="13" t="s">
        <v>30</v>
      </c>
      <c r="F322" s="13" t="s">
        <v>30</v>
      </c>
    </row>
    <row r="323" spans="1:6" x14ac:dyDescent="0.3">
      <c r="A323">
        <v>0</v>
      </c>
      <c r="B323" t="s">
        <v>290</v>
      </c>
      <c r="C323" s="13" t="s">
        <v>83</v>
      </c>
      <c r="D323" s="13" t="str">
        <f t="shared" si="3"/>
        <v>0Denominator (DN)</v>
      </c>
      <c r="E323" t="s">
        <v>558</v>
      </c>
    </row>
    <row r="324" spans="1:6" x14ac:dyDescent="0.3">
      <c r="A324">
        <v>0</v>
      </c>
      <c r="B324" t="s">
        <v>290</v>
      </c>
      <c r="C324" s="13" t="s">
        <v>283</v>
      </c>
      <c r="D324" s="13" t="str">
        <f t="shared" si="3"/>
        <v>0Master Beneficiary Summary File (MBSF): Base – Segment (A/B/C/D)</v>
      </c>
      <c r="E324" t="s">
        <v>558</v>
      </c>
    </row>
    <row r="325" spans="1:6" x14ac:dyDescent="0.3">
      <c r="A325">
        <v>0</v>
      </c>
      <c r="B325" t="s">
        <v>291</v>
      </c>
      <c r="C325" s="13" t="s">
        <v>284</v>
      </c>
      <c r="D325" s="13" t="str">
        <f t="shared" si="3"/>
        <v>0Master Beneficiary Summary File (MBSF): Chronic Conditions</v>
      </c>
      <c r="E325" t="s">
        <v>558</v>
      </c>
    </row>
    <row r="326" spans="1:6" x14ac:dyDescent="0.3">
      <c r="A326">
        <v>0</v>
      </c>
      <c r="B326" t="s">
        <v>291</v>
      </c>
      <c r="C326" s="13" t="s">
        <v>285</v>
      </c>
      <c r="D326" s="13" t="str">
        <f t="shared" si="3"/>
        <v>0Master Beneficiary Summary File (MBSF): Cost &amp; Utilization</v>
      </c>
      <c r="E326" t="s">
        <v>558</v>
      </c>
    </row>
    <row r="327" spans="1:6" x14ac:dyDescent="0.3">
      <c r="A327">
        <v>0</v>
      </c>
      <c r="B327" t="s">
        <v>291</v>
      </c>
      <c r="C327" s="13" t="s">
        <v>286</v>
      </c>
      <c r="D327" s="13" t="str">
        <f t="shared" si="3"/>
        <v xml:space="preserve">0Master Beneficiary Summary File (MBSF): Other Chronic or Potentially Disabling Conditions </v>
      </c>
      <c r="E327" t="s">
        <v>558</v>
      </c>
    </row>
    <row r="328" spans="1:6" x14ac:dyDescent="0.3">
      <c r="A328">
        <v>0</v>
      </c>
      <c r="B328" t="s">
        <v>292</v>
      </c>
      <c r="C328" s="13" t="s">
        <v>246</v>
      </c>
      <c r="D328" s="13" t="str">
        <f t="shared" si="3"/>
        <v>0Medicaid Analytic eXtract (MAX) Personal Summary (PS) Enrollment Data</v>
      </c>
      <c r="E328" t="s">
        <v>558</v>
      </c>
    </row>
    <row r="329" spans="1:6" x14ac:dyDescent="0.3">
      <c r="A329">
        <v>0</v>
      </c>
      <c r="B329" t="s">
        <v>292</v>
      </c>
      <c r="C329" s="13" t="s">
        <v>267</v>
      </c>
      <c r="D329" s="13" t="str">
        <f t="shared" si="3"/>
        <v>0TMSIS Analytic Files (TAF) Demographic and Eligibility (DE) Enrollment Data</v>
      </c>
      <c r="E329" t="s">
        <v>558</v>
      </c>
    </row>
    <row r="330" spans="1:6" x14ac:dyDescent="0.3">
      <c r="A330">
        <v>0</v>
      </c>
      <c r="B330" t="s">
        <v>293</v>
      </c>
      <c r="C330" s="13" t="s">
        <v>432</v>
      </c>
      <c r="D330" s="13" t="str">
        <f t="shared" si="3"/>
        <v>0Medicare Carrier (PB) Claims</v>
      </c>
      <c r="E330" t="s">
        <v>558</v>
      </c>
    </row>
    <row r="331" spans="1:6" x14ac:dyDescent="0.3">
      <c r="A331">
        <v>0</v>
      </c>
      <c r="B331" t="s">
        <v>293</v>
      </c>
      <c r="C331" s="13" t="s">
        <v>433</v>
      </c>
      <c r="D331" s="13" t="str">
        <f t="shared" si="3"/>
        <v>0Medicare Durable Medical Equipment (DM) Claims</v>
      </c>
      <c r="E331" t="s">
        <v>558</v>
      </c>
    </row>
    <row r="332" spans="1:6" x14ac:dyDescent="0.3">
      <c r="A332">
        <v>0</v>
      </c>
      <c r="B332" t="s">
        <v>293</v>
      </c>
      <c r="C332" s="13" t="s">
        <v>434</v>
      </c>
      <c r="D332" s="13" t="str">
        <f t="shared" si="3"/>
        <v>0Medicare Home Health (HH) Claims</v>
      </c>
      <c r="E332" t="s">
        <v>558</v>
      </c>
    </row>
    <row r="333" spans="1:6" x14ac:dyDescent="0.3">
      <c r="A333">
        <v>0</v>
      </c>
      <c r="B333" t="s">
        <v>293</v>
      </c>
      <c r="C333" s="13" t="s">
        <v>435</v>
      </c>
      <c r="D333" s="13" t="str">
        <f t="shared" si="3"/>
        <v>0Medicare Hospice (HS) Claims</v>
      </c>
      <c r="E333" t="s">
        <v>558</v>
      </c>
    </row>
    <row r="334" spans="1:6" x14ac:dyDescent="0.3">
      <c r="A334">
        <v>0</v>
      </c>
      <c r="B334" t="s">
        <v>293</v>
      </c>
      <c r="C334" s="13" t="s">
        <v>436</v>
      </c>
      <c r="D334" s="13" t="str">
        <f t="shared" si="3"/>
        <v>0Medicare Inpatient (IP) Claims</v>
      </c>
      <c r="E334" t="s">
        <v>558</v>
      </c>
    </row>
    <row r="335" spans="1:6" x14ac:dyDescent="0.3">
      <c r="A335">
        <v>0</v>
      </c>
      <c r="B335" t="s">
        <v>293</v>
      </c>
      <c r="C335" s="13" t="s">
        <v>437</v>
      </c>
      <c r="D335" s="13" t="str">
        <f t="shared" si="3"/>
        <v>0Medicare Outpatient (OP) Claims</v>
      </c>
      <c r="E335" t="s">
        <v>558</v>
      </c>
    </row>
    <row r="336" spans="1:6" x14ac:dyDescent="0.3">
      <c r="A336">
        <v>0</v>
      </c>
      <c r="B336" t="s">
        <v>293</v>
      </c>
      <c r="C336" s="13" t="s">
        <v>438</v>
      </c>
      <c r="D336" s="13" t="str">
        <f t="shared" si="3"/>
        <v>0Medicare Skilled Nursing Facility (SN) Claims</v>
      </c>
      <c r="E336" t="s">
        <v>558</v>
      </c>
    </row>
    <row r="337" spans="1:5" x14ac:dyDescent="0.3">
      <c r="A337">
        <v>0</v>
      </c>
      <c r="B337" t="s">
        <v>293</v>
      </c>
      <c r="C337" s="13" t="s">
        <v>715</v>
      </c>
      <c r="D337" s="13" t="str">
        <f t="shared" si="3"/>
        <v>0LINKAGE-Built Medicare Provider Analysis &amp; Review (MedPAR)</v>
      </c>
      <c r="E337" t="s">
        <v>558</v>
      </c>
    </row>
    <row r="338" spans="1:5" x14ac:dyDescent="0.3">
      <c r="A338">
        <v>0</v>
      </c>
      <c r="B338" t="s">
        <v>294</v>
      </c>
      <c r="C338" s="13" t="s">
        <v>260</v>
      </c>
      <c r="D338" s="13" t="str">
        <f t="shared" si="3"/>
        <v>0Medicare Carrier Encounter Claims</v>
      </c>
      <c r="E338" t="s">
        <v>558</v>
      </c>
    </row>
    <row r="339" spans="1:5" x14ac:dyDescent="0.3">
      <c r="A339">
        <v>0</v>
      </c>
      <c r="B339" t="s">
        <v>294</v>
      </c>
      <c r="C339" s="13" t="s">
        <v>261</v>
      </c>
      <c r="D339" s="13" t="str">
        <f t="shared" si="3"/>
        <v>0Medicare Durable Medical Equipment (DME) Encounter</v>
      </c>
      <c r="E339" t="s">
        <v>558</v>
      </c>
    </row>
    <row r="340" spans="1:5" x14ac:dyDescent="0.3">
      <c r="A340">
        <v>0</v>
      </c>
      <c r="B340" t="s">
        <v>294</v>
      </c>
      <c r="C340" s="13" t="s">
        <v>262</v>
      </c>
      <c r="D340" s="13" t="str">
        <f t="shared" si="3"/>
        <v>0Medicare Home Health Agency (HH) Encounter Claims</v>
      </c>
      <c r="E340" t="s">
        <v>558</v>
      </c>
    </row>
    <row r="341" spans="1:5" x14ac:dyDescent="0.3">
      <c r="A341">
        <v>0</v>
      </c>
      <c r="B341" t="s">
        <v>294</v>
      </c>
      <c r="C341" s="13" t="s">
        <v>263</v>
      </c>
      <c r="D341" s="13" t="str">
        <f t="shared" si="3"/>
        <v>0Medicare Inpatient (IP) Encounter Claims</v>
      </c>
      <c r="E341" t="s">
        <v>558</v>
      </c>
    </row>
    <row r="342" spans="1:5" x14ac:dyDescent="0.3">
      <c r="A342">
        <v>0</v>
      </c>
      <c r="B342" t="s">
        <v>294</v>
      </c>
      <c r="C342" s="13" t="s">
        <v>264</v>
      </c>
      <c r="D342" s="13" t="str">
        <f t="shared" si="3"/>
        <v>0Medicare Outpatient (OP) Encounter Claims</v>
      </c>
      <c r="E342" t="s">
        <v>558</v>
      </c>
    </row>
    <row r="343" spans="1:5" x14ac:dyDescent="0.3">
      <c r="A343">
        <v>0</v>
      </c>
      <c r="B343" t="s">
        <v>294</v>
      </c>
      <c r="C343" s="13" t="s">
        <v>265</v>
      </c>
      <c r="D343" s="13" t="str">
        <f t="shared" si="3"/>
        <v>0Medicare Skilled Nursing Facility (SNF) Encounter Claims</v>
      </c>
      <c r="E343" t="s">
        <v>558</v>
      </c>
    </row>
    <row r="344" spans="1:5" x14ac:dyDescent="0.3">
      <c r="A344">
        <v>0</v>
      </c>
      <c r="B344" t="s">
        <v>266</v>
      </c>
      <c r="C344" s="13" t="s">
        <v>237</v>
      </c>
      <c r="D344" s="13" t="str">
        <f t="shared" si="3"/>
        <v>0Medicare Part D Medication Therapy Management (MTM)</v>
      </c>
      <c r="E344" t="s">
        <v>558</v>
      </c>
    </row>
    <row r="345" spans="1:5" x14ac:dyDescent="0.3">
      <c r="A345">
        <v>0</v>
      </c>
      <c r="B345" t="s">
        <v>295</v>
      </c>
      <c r="C345" s="13" t="s">
        <v>243</v>
      </c>
      <c r="D345" s="13" t="str">
        <f t="shared" si="3"/>
        <v>0Medicaid Analytic eXtract (MAX) Inpatient (IP) Claims</v>
      </c>
      <c r="E345" t="s">
        <v>558</v>
      </c>
    </row>
    <row r="346" spans="1:5" x14ac:dyDescent="0.3">
      <c r="A346">
        <v>0</v>
      </c>
      <c r="B346" t="s">
        <v>295</v>
      </c>
      <c r="C346" s="13" t="s">
        <v>244</v>
      </c>
      <c r="D346" s="13" t="str">
        <f t="shared" si="3"/>
        <v>0Medicaid Analytic eXtract (MAX) Long Term Care (LT) Claims</v>
      </c>
      <c r="E346" t="s">
        <v>558</v>
      </c>
    </row>
    <row r="347" spans="1:5" x14ac:dyDescent="0.3">
      <c r="A347">
        <v>0</v>
      </c>
      <c r="B347" t="s">
        <v>295</v>
      </c>
      <c r="C347" s="13" t="s">
        <v>245</v>
      </c>
      <c r="D347" s="13" t="str">
        <f t="shared" si="3"/>
        <v>0Medicaid Analytic eXtract (MAX) Other Services (OT) Claims</v>
      </c>
      <c r="E347" t="s">
        <v>558</v>
      </c>
    </row>
    <row r="348" spans="1:5" x14ac:dyDescent="0.3">
      <c r="A348">
        <v>0</v>
      </c>
      <c r="B348" t="s">
        <v>295</v>
      </c>
      <c r="C348" s="13" t="s">
        <v>248</v>
      </c>
      <c r="D348" s="13" t="str">
        <f t="shared" si="3"/>
        <v>0Medicaid Analytic eXtract (MAX) Prescription Drug (RX) Data</v>
      </c>
      <c r="E348" t="s">
        <v>558</v>
      </c>
    </row>
    <row r="349" spans="1:5" x14ac:dyDescent="0.3">
      <c r="A349">
        <v>0</v>
      </c>
      <c r="B349" t="s">
        <v>295</v>
      </c>
      <c r="C349" s="13" t="s">
        <v>268</v>
      </c>
      <c r="D349" s="13" t="str">
        <f t="shared" si="3"/>
        <v>0TMSIS Analytic Files (TAF) Inpatient (IP) Claims</v>
      </c>
      <c r="E349" t="s">
        <v>558</v>
      </c>
    </row>
    <row r="350" spans="1:5" x14ac:dyDescent="0.3">
      <c r="A350">
        <v>0</v>
      </c>
      <c r="B350" t="s">
        <v>295</v>
      </c>
      <c r="C350" s="13" t="s">
        <v>269</v>
      </c>
      <c r="D350" s="13" t="str">
        <f t="shared" si="3"/>
        <v>0TMSIS Analytic Files (TAF) Long Term Care (LT) Claims</v>
      </c>
      <c r="E350" t="s">
        <v>558</v>
      </c>
    </row>
    <row r="351" spans="1:5" x14ac:dyDescent="0.3">
      <c r="A351">
        <v>0</v>
      </c>
      <c r="B351" t="s">
        <v>295</v>
      </c>
      <c r="C351" s="13" t="s">
        <v>270</v>
      </c>
      <c r="D351" s="13" t="str">
        <f t="shared" si="3"/>
        <v>0TMSIS Analytic Files (TAF) Other Services (OT) Claims</v>
      </c>
      <c r="E351" t="s">
        <v>558</v>
      </c>
    </row>
    <row r="352" spans="1:5" x14ac:dyDescent="0.3">
      <c r="A352">
        <v>0</v>
      </c>
      <c r="B352" t="s">
        <v>295</v>
      </c>
      <c r="C352" s="13" t="s">
        <v>271</v>
      </c>
      <c r="D352" s="13" t="str">
        <f t="shared" si="3"/>
        <v>0TMSIS Analytic Files (TAF) Pharmacy (RX) Data</v>
      </c>
      <c r="E352" t="s">
        <v>558</v>
      </c>
    </row>
    <row r="353" spans="1:6" x14ac:dyDescent="0.3">
      <c r="A353">
        <v>0</v>
      </c>
      <c r="B353" t="s">
        <v>266</v>
      </c>
      <c r="C353" s="13" t="s">
        <v>365</v>
      </c>
      <c r="D353" s="13" t="str">
        <f t="shared" si="3"/>
        <v>0PDE</v>
      </c>
      <c r="E353" t="s">
        <v>558</v>
      </c>
    </row>
    <row r="354" spans="1:6" x14ac:dyDescent="0.3">
      <c r="A354">
        <v>0</v>
      </c>
      <c r="B354" t="s">
        <v>409</v>
      </c>
      <c r="C354" t="s">
        <v>299</v>
      </c>
      <c r="D354" s="13" t="str">
        <f t="shared" si="3"/>
        <v>0IRF-PAI</v>
      </c>
      <c r="E354" t="s">
        <v>558</v>
      </c>
    </row>
    <row r="355" spans="1:6" x14ac:dyDescent="0.3">
      <c r="A355">
        <v>0</v>
      </c>
      <c r="B355" t="s">
        <v>409</v>
      </c>
      <c r="C355" t="s">
        <v>38</v>
      </c>
      <c r="D355" s="13" t="str">
        <f t="shared" si="3"/>
        <v>0MDS</v>
      </c>
      <c r="E355" t="s">
        <v>558</v>
      </c>
    </row>
    <row r="356" spans="1:6" x14ac:dyDescent="0.3">
      <c r="A356">
        <v>0</v>
      </c>
      <c r="B356" t="s">
        <v>409</v>
      </c>
      <c r="C356" t="s">
        <v>357</v>
      </c>
      <c r="D356" s="13" t="str">
        <f t="shared" si="3"/>
        <v>0OASIS</v>
      </c>
      <c r="E356" t="s">
        <v>558</v>
      </c>
    </row>
    <row r="357" spans="1:6" s="17" customFormat="1" x14ac:dyDescent="0.3">
      <c r="A357" s="17">
        <v>0</v>
      </c>
      <c r="B357" s="17" t="s">
        <v>687</v>
      </c>
      <c r="C357" s="17" t="s">
        <v>687</v>
      </c>
      <c r="D357" s="13" t="str">
        <f t="shared" si="3"/>
        <v>0HEDIS</v>
      </c>
      <c r="E357" s="17" t="s">
        <v>558</v>
      </c>
    </row>
    <row r="358" spans="1:6" s="17" customFormat="1" x14ac:dyDescent="0.3">
      <c r="A358" s="17" t="s">
        <v>686</v>
      </c>
      <c r="B358" s="17" t="s">
        <v>290</v>
      </c>
      <c r="C358" s="13" t="s">
        <v>83</v>
      </c>
      <c r="D358" s="13" t="str">
        <f t="shared" ref="D358:D392" si="6">CONCATENATE(A358,C358)</f>
        <v>OtherDenominator (DN)</v>
      </c>
      <c r="E358" s="17">
        <v>1991</v>
      </c>
      <c r="F358" s="17">
        <v>1998</v>
      </c>
    </row>
    <row r="359" spans="1:6" s="17" customFormat="1" x14ac:dyDescent="0.3">
      <c r="A359" s="17" t="s">
        <v>686</v>
      </c>
      <c r="B359" s="17" t="s">
        <v>290</v>
      </c>
      <c r="C359" s="13" t="s">
        <v>283</v>
      </c>
      <c r="D359" s="13" t="str">
        <f t="shared" si="6"/>
        <v>OtherMaster Beneficiary Summary File (MBSF): Base – Segment (A/B/C/D)</v>
      </c>
      <c r="E359" s="17">
        <v>1999</v>
      </c>
      <c r="F359" s="17">
        <v>2023</v>
      </c>
    </row>
    <row r="360" spans="1:6" s="17" customFormat="1" x14ac:dyDescent="0.3">
      <c r="A360" s="17" t="s">
        <v>686</v>
      </c>
      <c r="B360" s="17" t="s">
        <v>291</v>
      </c>
      <c r="C360" s="13" t="s">
        <v>284</v>
      </c>
      <c r="D360" s="13" t="str">
        <f t="shared" si="6"/>
        <v>OtherMaster Beneficiary Summary File (MBSF): Chronic Conditions</v>
      </c>
      <c r="E360" s="17">
        <v>1999</v>
      </c>
      <c r="F360" s="17">
        <v>2022</v>
      </c>
    </row>
    <row r="361" spans="1:6" s="17" customFormat="1" x14ac:dyDescent="0.3">
      <c r="A361" s="17" t="s">
        <v>686</v>
      </c>
      <c r="B361" s="17" t="s">
        <v>291</v>
      </c>
      <c r="C361" s="13" t="s">
        <v>285</v>
      </c>
      <c r="D361" s="13" t="str">
        <f t="shared" si="6"/>
        <v>OtherMaster Beneficiary Summary File (MBSF): Cost &amp; Utilization</v>
      </c>
      <c r="E361" s="17">
        <v>1999</v>
      </c>
      <c r="F361" s="17">
        <v>2022</v>
      </c>
    </row>
    <row r="362" spans="1:6" s="17" customFormat="1" x14ac:dyDescent="0.3">
      <c r="A362" s="17" t="s">
        <v>686</v>
      </c>
      <c r="B362" s="17" t="s">
        <v>291</v>
      </c>
      <c r="C362" s="13" t="s">
        <v>286</v>
      </c>
      <c r="D362" s="13" t="str">
        <f t="shared" si="6"/>
        <v xml:space="preserve">OtherMaster Beneficiary Summary File (MBSF): Other Chronic or Potentially Disabling Conditions </v>
      </c>
      <c r="E362" s="17">
        <v>2000</v>
      </c>
      <c r="F362" s="17">
        <v>2022</v>
      </c>
    </row>
    <row r="363" spans="1:6" s="17" customFormat="1" x14ac:dyDescent="0.3">
      <c r="A363" s="17" t="s">
        <v>686</v>
      </c>
      <c r="B363" s="17" t="s">
        <v>292</v>
      </c>
      <c r="C363" s="13" t="s">
        <v>246</v>
      </c>
      <c r="D363" s="13" t="str">
        <f t="shared" si="6"/>
        <v>OtherMedicaid Analytic eXtract (MAX) Personal Summary (PS) Enrollment Data</v>
      </c>
      <c r="E363" s="17">
        <v>1999</v>
      </c>
      <c r="F363" s="17">
        <v>2015</v>
      </c>
    </row>
    <row r="364" spans="1:6" s="17" customFormat="1" x14ac:dyDescent="0.3">
      <c r="A364" s="17" t="s">
        <v>686</v>
      </c>
      <c r="B364" s="17" t="s">
        <v>292</v>
      </c>
      <c r="C364" s="13" t="s">
        <v>267</v>
      </c>
      <c r="D364" s="13" t="str">
        <f t="shared" si="6"/>
        <v>OtherTMSIS Analytic Files (TAF) Demographic and Eligibility (DE) Enrollment Data</v>
      </c>
      <c r="E364" s="17">
        <v>2014</v>
      </c>
      <c r="F364" s="17">
        <v>2021</v>
      </c>
    </row>
    <row r="365" spans="1:6" s="17" customFormat="1" x14ac:dyDescent="0.3">
      <c r="A365" s="17" t="s">
        <v>686</v>
      </c>
      <c r="B365" s="17" t="s">
        <v>293</v>
      </c>
      <c r="C365" s="13" t="s">
        <v>432</v>
      </c>
      <c r="D365" s="13" t="str">
        <f t="shared" si="6"/>
        <v>OtherMedicare Carrier (PB) Claims</v>
      </c>
      <c r="E365" s="17">
        <v>1991</v>
      </c>
      <c r="F365" s="17">
        <v>2023</v>
      </c>
    </row>
    <row r="366" spans="1:6" s="17" customFormat="1" x14ac:dyDescent="0.3">
      <c r="A366" s="17" t="s">
        <v>686</v>
      </c>
      <c r="B366" s="17" t="s">
        <v>293</v>
      </c>
      <c r="C366" s="13" t="s">
        <v>433</v>
      </c>
      <c r="D366" s="13" t="str">
        <f t="shared" si="6"/>
        <v>OtherMedicare Durable Medical Equipment (DM) Claims</v>
      </c>
      <c r="E366" s="17">
        <v>1991</v>
      </c>
      <c r="F366" s="17">
        <v>2023</v>
      </c>
    </row>
    <row r="367" spans="1:6" s="17" customFormat="1" x14ac:dyDescent="0.3">
      <c r="A367" s="17" t="s">
        <v>686</v>
      </c>
      <c r="B367" s="17" t="s">
        <v>293</v>
      </c>
      <c r="C367" s="13" t="s">
        <v>434</v>
      </c>
      <c r="D367" s="13" t="str">
        <f t="shared" si="6"/>
        <v>OtherMedicare Home Health (HH) Claims</v>
      </c>
      <c r="E367" s="17">
        <v>1991</v>
      </c>
      <c r="F367" s="17">
        <v>2023</v>
      </c>
    </row>
    <row r="368" spans="1:6" s="17" customFormat="1" x14ac:dyDescent="0.3">
      <c r="A368" s="17" t="s">
        <v>686</v>
      </c>
      <c r="B368" s="17" t="s">
        <v>293</v>
      </c>
      <c r="C368" s="13" t="s">
        <v>435</v>
      </c>
      <c r="D368" s="13" t="str">
        <f t="shared" si="6"/>
        <v>OtherMedicare Hospice (HS) Claims</v>
      </c>
      <c r="E368" s="17">
        <v>1991</v>
      </c>
      <c r="F368" s="17">
        <v>2023</v>
      </c>
    </row>
    <row r="369" spans="1:6" s="17" customFormat="1" x14ac:dyDescent="0.3">
      <c r="A369" s="17" t="s">
        <v>686</v>
      </c>
      <c r="B369" s="17" t="s">
        <v>293</v>
      </c>
      <c r="C369" s="13" t="s">
        <v>436</v>
      </c>
      <c r="D369" s="13" t="str">
        <f t="shared" si="6"/>
        <v>OtherMedicare Inpatient (IP) Claims</v>
      </c>
      <c r="E369" s="17">
        <v>1991</v>
      </c>
      <c r="F369" s="17">
        <v>2023</v>
      </c>
    </row>
    <row r="370" spans="1:6" s="17" customFormat="1" x14ac:dyDescent="0.3">
      <c r="A370" s="17" t="s">
        <v>686</v>
      </c>
      <c r="B370" s="17" t="s">
        <v>293</v>
      </c>
      <c r="C370" s="13" t="s">
        <v>437</v>
      </c>
      <c r="D370" s="13" t="str">
        <f t="shared" si="6"/>
        <v>OtherMedicare Outpatient (OP) Claims</v>
      </c>
      <c r="E370" s="17">
        <v>1991</v>
      </c>
      <c r="F370" s="17">
        <v>2023</v>
      </c>
    </row>
    <row r="371" spans="1:6" s="17" customFormat="1" x14ac:dyDescent="0.3">
      <c r="A371" s="17" t="s">
        <v>686</v>
      </c>
      <c r="B371" s="17" t="s">
        <v>293</v>
      </c>
      <c r="C371" s="13" t="s">
        <v>438</v>
      </c>
      <c r="D371" s="13" t="str">
        <f t="shared" si="6"/>
        <v>OtherMedicare Skilled Nursing Facility (SN) Claims</v>
      </c>
      <c r="E371" s="17">
        <v>1991</v>
      </c>
      <c r="F371" s="17">
        <v>2023</v>
      </c>
    </row>
    <row r="372" spans="1:6" s="17" customFormat="1" x14ac:dyDescent="0.3">
      <c r="A372" s="17" t="s">
        <v>686</v>
      </c>
      <c r="B372" s="17" t="s">
        <v>293</v>
      </c>
      <c r="C372" s="13" t="s">
        <v>715</v>
      </c>
      <c r="D372" s="13" t="str">
        <f t="shared" si="6"/>
        <v>OtherLINKAGE-Built Medicare Provider Analysis &amp; Review (MedPAR)</v>
      </c>
      <c r="E372" s="17">
        <v>1991</v>
      </c>
      <c r="F372" s="17">
        <v>2022</v>
      </c>
    </row>
    <row r="373" spans="1:6" s="17" customFormat="1" x14ac:dyDescent="0.3">
      <c r="A373" s="17" t="s">
        <v>686</v>
      </c>
      <c r="B373" s="17" t="s">
        <v>294</v>
      </c>
      <c r="C373" s="13" t="s">
        <v>260</v>
      </c>
      <c r="D373" s="13" t="str">
        <f t="shared" si="6"/>
        <v>OtherMedicare Carrier Encounter Claims</v>
      </c>
      <c r="E373" s="17">
        <v>2015</v>
      </c>
      <c r="F373" s="17">
        <v>2021</v>
      </c>
    </row>
    <row r="374" spans="1:6" s="17" customFormat="1" x14ac:dyDescent="0.3">
      <c r="A374" s="17" t="s">
        <v>686</v>
      </c>
      <c r="B374" s="17" t="s">
        <v>294</v>
      </c>
      <c r="C374" s="13" t="s">
        <v>261</v>
      </c>
      <c r="D374" s="13" t="str">
        <f t="shared" si="6"/>
        <v>OtherMedicare Durable Medical Equipment (DME) Encounter</v>
      </c>
      <c r="E374" s="17">
        <v>2015</v>
      </c>
      <c r="F374" s="17">
        <v>2021</v>
      </c>
    </row>
    <row r="375" spans="1:6" s="17" customFormat="1" x14ac:dyDescent="0.3">
      <c r="A375" s="17" t="s">
        <v>686</v>
      </c>
      <c r="B375" s="17" t="s">
        <v>294</v>
      </c>
      <c r="C375" s="13" t="s">
        <v>262</v>
      </c>
      <c r="D375" s="13" t="str">
        <f t="shared" si="6"/>
        <v>OtherMedicare Home Health Agency (HH) Encounter Claims</v>
      </c>
      <c r="E375" s="17">
        <v>2015</v>
      </c>
      <c r="F375" s="17">
        <v>2021</v>
      </c>
    </row>
    <row r="376" spans="1:6" s="17" customFormat="1" x14ac:dyDescent="0.3">
      <c r="A376" s="17" t="s">
        <v>686</v>
      </c>
      <c r="B376" s="17" t="s">
        <v>294</v>
      </c>
      <c r="C376" s="13" t="s">
        <v>263</v>
      </c>
      <c r="D376" s="13" t="str">
        <f t="shared" si="6"/>
        <v>OtherMedicare Inpatient (IP) Encounter Claims</v>
      </c>
      <c r="E376" s="17">
        <v>2015</v>
      </c>
      <c r="F376" s="17">
        <v>2021</v>
      </c>
    </row>
    <row r="377" spans="1:6" s="17" customFormat="1" x14ac:dyDescent="0.3">
      <c r="A377" s="17" t="s">
        <v>686</v>
      </c>
      <c r="B377" s="17" t="s">
        <v>294</v>
      </c>
      <c r="C377" s="13" t="s">
        <v>264</v>
      </c>
      <c r="D377" s="13" t="str">
        <f t="shared" si="6"/>
        <v>OtherMedicare Outpatient (OP) Encounter Claims</v>
      </c>
      <c r="E377" s="17">
        <v>2015</v>
      </c>
      <c r="F377" s="17">
        <v>2021</v>
      </c>
    </row>
    <row r="378" spans="1:6" s="17" customFormat="1" x14ac:dyDescent="0.3">
      <c r="A378" s="17" t="s">
        <v>686</v>
      </c>
      <c r="B378" s="17" t="s">
        <v>294</v>
      </c>
      <c r="C378" s="13" t="s">
        <v>265</v>
      </c>
      <c r="D378" s="13" t="str">
        <f t="shared" si="6"/>
        <v>OtherMedicare Skilled Nursing Facility (SNF) Encounter Claims</v>
      </c>
      <c r="E378" s="17">
        <v>2015</v>
      </c>
      <c r="F378" s="17">
        <v>2021</v>
      </c>
    </row>
    <row r="379" spans="1:6" s="17" customFormat="1" x14ac:dyDescent="0.3">
      <c r="A379" s="17" t="s">
        <v>686</v>
      </c>
      <c r="B379" s="17" t="s">
        <v>266</v>
      </c>
      <c r="C379" s="13" t="s">
        <v>237</v>
      </c>
      <c r="D379" s="13" t="str">
        <f t="shared" si="6"/>
        <v>OtherMedicare Part D Medication Therapy Management (MTM)</v>
      </c>
      <c r="E379" s="17">
        <v>2013</v>
      </c>
      <c r="F379" s="17">
        <v>2021</v>
      </c>
    </row>
    <row r="380" spans="1:6" s="17" customFormat="1" x14ac:dyDescent="0.3">
      <c r="A380" s="17" t="s">
        <v>686</v>
      </c>
      <c r="B380" s="17" t="s">
        <v>295</v>
      </c>
      <c r="C380" s="13" t="s">
        <v>243</v>
      </c>
      <c r="D380" s="13" t="str">
        <f t="shared" si="6"/>
        <v>OtherMedicaid Analytic eXtract (MAX) Inpatient (IP) Claims</v>
      </c>
      <c r="E380" s="17">
        <v>1999</v>
      </c>
      <c r="F380" s="17">
        <v>2015</v>
      </c>
    </row>
    <row r="381" spans="1:6" s="17" customFormat="1" x14ac:dyDescent="0.3">
      <c r="A381" s="17" t="s">
        <v>686</v>
      </c>
      <c r="B381" s="17" t="s">
        <v>295</v>
      </c>
      <c r="C381" s="13" t="s">
        <v>244</v>
      </c>
      <c r="D381" s="13" t="str">
        <f t="shared" si="6"/>
        <v>OtherMedicaid Analytic eXtract (MAX) Long Term Care (LT) Claims</v>
      </c>
      <c r="E381" s="17">
        <v>1999</v>
      </c>
      <c r="F381" s="17">
        <v>2015</v>
      </c>
    </row>
    <row r="382" spans="1:6" s="17" customFormat="1" x14ac:dyDescent="0.3">
      <c r="A382" s="17" t="s">
        <v>686</v>
      </c>
      <c r="B382" s="17" t="s">
        <v>295</v>
      </c>
      <c r="C382" s="13" t="s">
        <v>245</v>
      </c>
      <c r="D382" s="13" t="str">
        <f t="shared" si="6"/>
        <v>OtherMedicaid Analytic eXtract (MAX) Other Services (OT) Claims</v>
      </c>
      <c r="E382" s="17">
        <v>1999</v>
      </c>
      <c r="F382" s="17">
        <v>2015</v>
      </c>
    </row>
    <row r="383" spans="1:6" s="17" customFormat="1" x14ac:dyDescent="0.3">
      <c r="A383" s="17" t="s">
        <v>686</v>
      </c>
      <c r="B383" s="17" t="s">
        <v>295</v>
      </c>
      <c r="C383" s="13" t="s">
        <v>248</v>
      </c>
      <c r="D383" s="13" t="str">
        <f t="shared" si="6"/>
        <v>OtherMedicaid Analytic eXtract (MAX) Prescription Drug (RX) Data</v>
      </c>
      <c r="E383" s="17">
        <v>1999</v>
      </c>
      <c r="F383" s="17">
        <v>2015</v>
      </c>
    </row>
    <row r="384" spans="1:6" s="17" customFormat="1" x14ac:dyDescent="0.3">
      <c r="A384" s="17" t="s">
        <v>686</v>
      </c>
      <c r="B384" s="17" t="s">
        <v>295</v>
      </c>
      <c r="C384" s="13" t="s">
        <v>268</v>
      </c>
      <c r="D384" s="13" t="str">
        <f t="shared" si="6"/>
        <v>OtherTMSIS Analytic Files (TAF) Inpatient (IP) Claims</v>
      </c>
      <c r="E384" s="17">
        <v>2014</v>
      </c>
      <c r="F384" s="17">
        <v>2021</v>
      </c>
    </row>
    <row r="385" spans="1:6" s="17" customFormat="1" x14ac:dyDescent="0.3">
      <c r="A385" s="17" t="s">
        <v>686</v>
      </c>
      <c r="B385" s="17" t="s">
        <v>295</v>
      </c>
      <c r="C385" s="13" t="s">
        <v>269</v>
      </c>
      <c r="D385" s="13" t="str">
        <f t="shared" si="6"/>
        <v>OtherTMSIS Analytic Files (TAF) Long Term Care (LT) Claims</v>
      </c>
      <c r="E385" s="17">
        <v>2014</v>
      </c>
      <c r="F385" s="17">
        <v>2021</v>
      </c>
    </row>
    <row r="386" spans="1:6" s="17" customFormat="1" x14ac:dyDescent="0.3">
      <c r="A386" s="17" t="s">
        <v>686</v>
      </c>
      <c r="B386" s="17" t="s">
        <v>295</v>
      </c>
      <c r="C386" s="13" t="s">
        <v>270</v>
      </c>
      <c r="D386" s="13" t="str">
        <f t="shared" si="6"/>
        <v>OtherTMSIS Analytic Files (TAF) Other Services (OT) Claims</v>
      </c>
      <c r="E386" s="17">
        <v>2014</v>
      </c>
      <c r="F386" s="17">
        <v>2021</v>
      </c>
    </row>
    <row r="387" spans="1:6" s="17" customFormat="1" x14ac:dyDescent="0.3">
      <c r="A387" s="17" t="s">
        <v>686</v>
      </c>
      <c r="B387" s="17" t="s">
        <v>295</v>
      </c>
      <c r="C387" s="13" t="s">
        <v>271</v>
      </c>
      <c r="D387" s="13" t="str">
        <f t="shared" si="6"/>
        <v>OtherTMSIS Analytic Files (TAF) Pharmacy (RX) Data</v>
      </c>
      <c r="E387" s="17">
        <v>2014</v>
      </c>
      <c r="F387" s="17">
        <v>2021</v>
      </c>
    </row>
    <row r="388" spans="1:6" s="17" customFormat="1" x14ac:dyDescent="0.3">
      <c r="A388" s="17" t="s">
        <v>686</v>
      </c>
      <c r="B388" s="17" t="s">
        <v>266</v>
      </c>
      <c r="C388" s="13" t="s">
        <v>365</v>
      </c>
      <c r="D388" s="13" t="str">
        <f t="shared" si="6"/>
        <v>OtherPDE</v>
      </c>
      <c r="E388" s="17">
        <v>2006</v>
      </c>
      <c r="F388" s="17">
        <v>2023</v>
      </c>
    </row>
    <row r="389" spans="1:6" s="17" customFormat="1" x14ac:dyDescent="0.3">
      <c r="A389" s="17" t="s">
        <v>686</v>
      </c>
      <c r="B389" s="17" t="s">
        <v>409</v>
      </c>
      <c r="C389" s="17" t="s">
        <v>299</v>
      </c>
      <c r="D389" s="13" t="str">
        <f t="shared" si="6"/>
        <v>OtherIRF-PAI</v>
      </c>
      <c r="E389" s="17">
        <v>2002</v>
      </c>
      <c r="F389" s="17">
        <v>2021</v>
      </c>
    </row>
    <row r="390" spans="1:6" s="17" customFormat="1" x14ac:dyDescent="0.3">
      <c r="A390" s="17" t="s">
        <v>686</v>
      </c>
      <c r="B390" s="17" t="s">
        <v>409</v>
      </c>
      <c r="C390" s="17" t="s">
        <v>38</v>
      </c>
      <c r="D390" s="13" t="str">
        <f t="shared" si="6"/>
        <v>OtherMDS</v>
      </c>
      <c r="E390" s="17">
        <v>1999</v>
      </c>
      <c r="F390" s="17">
        <v>2023</v>
      </c>
    </row>
    <row r="391" spans="1:6" s="17" customFormat="1" x14ac:dyDescent="0.3">
      <c r="A391" s="17" t="s">
        <v>686</v>
      </c>
      <c r="B391" s="17" t="s">
        <v>409</v>
      </c>
      <c r="C391" s="17" t="s">
        <v>357</v>
      </c>
      <c r="D391" s="13" t="str">
        <f t="shared" si="6"/>
        <v>OtherOASIS</v>
      </c>
      <c r="E391" s="17">
        <v>1999</v>
      </c>
      <c r="F391" s="17">
        <v>2021</v>
      </c>
    </row>
    <row r="392" spans="1:6" x14ac:dyDescent="0.3">
      <c r="A392" t="s">
        <v>686</v>
      </c>
      <c r="B392" s="17" t="s">
        <v>687</v>
      </c>
      <c r="C392" s="17" t="s">
        <v>687</v>
      </c>
      <c r="D392" s="13" t="str">
        <f t="shared" si="6"/>
        <v>OtherHEDIS</v>
      </c>
      <c r="E392" s="17">
        <v>2010</v>
      </c>
      <c r="F392" s="17">
        <v>2022</v>
      </c>
    </row>
    <row r="394" spans="1:6" x14ac:dyDescent="0.3">
      <c r="B394" t="s">
        <v>426</v>
      </c>
      <c r="C394" t="s">
        <v>427</v>
      </c>
    </row>
    <row r="395" spans="1:6" x14ac:dyDescent="0.3">
      <c r="B395" s="14"/>
      <c r="C395" s="14" t="s">
        <v>428</v>
      </c>
      <c r="D395" s="14" t="s">
        <v>428</v>
      </c>
      <c r="E395" s="14" t="s">
        <v>422</v>
      </c>
      <c r="F395" s="14" t="s">
        <v>423</v>
      </c>
    </row>
    <row r="396" spans="1:6" x14ac:dyDescent="0.3">
      <c r="B396" t="s">
        <v>83</v>
      </c>
      <c r="C396" t="s">
        <v>425</v>
      </c>
      <c r="D396" t="s">
        <v>424</v>
      </c>
      <c r="E396" t="str">
        <f>VLOOKUP(CONCATENATE(StudyName, 'File-Level_Request'!B23),Study_Data_Year_Lookup,2,FALSE)</f>
        <v>In the Research Project Info tab, select a NIA Study Institute partner to access data year availability information.</v>
      </c>
      <c r="F396">
        <f>VLOOKUP(CONCATENATE(StudyName, 'File-Level_Request'!B23),Study_Data_Year_Lookup,3,FALSE)</f>
        <v>0</v>
      </c>
    </row>
    <row r="397" spans="1:6" x14ac:dyDescent="0.3">
      <c r="B397" t="s">
        <v>283</v>
      </c>
      <c r="C397" t="s">
        <v>429</v>
      </c>
      <c r="D397" t="s">
        <v>430</v>
      </c>
      <c r="E397" t="str">
        <f>VLOOKUP(CONCATENATE(StudyName, 'File-Level_Request'!B24),Study_Data_Year_Lookup,2,FALSE)</f>
        <v>In the Research Project Info tab, select a NIA Study Institute partner to access data year availability information.</v>
      </c>
      <c r="F397">
        <f>VLOOKUP(CONCATENATE(StudyName, 'File-Level_Request'!B24),Study_Data_Year_Lookup,3,FALSE)</f>
        <v>0</v>
      </c>
    </row>
    <row r="398" spans="1:6" x14ac:dyDescent="0.3">
      <c r="B398" t="s">
        <v>284</v>
      </c>
      <c r="C398" t="s">
        <v>588</v>
      </c>
      <c r="D398" t="s">
        <v>589</v>
      </c>
      <c r="E398" t="str">
        <f>VLOOKUP(CONCATENATE(StudyName, 'File-Level_Request'!B30),Study_Data_Year_Lookup,2,FALSE)</f>
        <v>In the Research Project Info tab, select a NIA Study Institute partner to access data year availability information.</v>
      </c>
      <c r="F398">
        <f>VLOOKUP(CONCATENATE(StudyName, 'File-Level_Request'!B30),Study_Data_Year_Lookup,3,FALSE)</f>
        <v>0</v>
      </c>
    </row>
    <row r="399" spans="1:6" x14ac:dyDescent="0.3">
      <c r="B399" t="s">
        <v>285</v>
      </c>
      <c r="C399" t="s">
        <v>590</v>
      </c>
      <c r="D399" t="s">
        <v>591</v>
      </c>
      <c r="E399" t="str">
        <f>VLOOKUP(CONCATENATE(StudyName, 'File-Level_Request'!B31),Study_Data_Year_Lookup,2,FALSE)</f>
        <v>In the Research Project Info tab, select a NIA Study Institute partner to access data year availability information.</v>
      </c>
      <c r="F399">
        <f>VLOOKUP(CONCATENATE(StudyName, 'File-Level_Request'!B31),Study_Data_Year_Lookup,3,FALSE)</f>
        <v>0</v>
      </c>
    </row>
    <row r="400" spans="1:6" x14ac:dyDescent="0.3">
      <c r="B400" t="s">
        <v>286</v>
      </c>
      <c r="C400" t="s">
        <v>592</v>
      </c>
      <c r="D400" t="s">
        <v>593</v>
      </c>
      <c r="E400" t="str">
        <f>VLOOKUP(CONCATENATE(StudyName, 'File-Level_Request'!B32),Study_Data_Year_Lookup,2,FALSE)</f>
        <v>In the Research Project Info tab, select a NIA Study Institute partner to access data year availability information.</v>
      </c>
      <c r="F400">
        <f>VLOOKUP(CONCATENATE(StudyName, 'File-Level_Request'!B32),Study_Data_Year_Lookup,3,FALSE)</f>
        <v>0</v>
      </c>
    </row>
    <row r="401" spans="2:6" x14ac:dyDescent="0.3">
      <c r="B401" t="s">
        <v>246</v>
      </c>
      <c r="C401" t="s">
        <v>431</v>
      </c>
      <c r="D401" t="s">
        <v>456</v>
      </c>
      <c r="E401" t="str">
        <f>VLOOKUP(CONCATENATE(StudyName, 'File-Level_Request'!B38),Study_Data_Year_Lookup,2,FALSE)</f>
        <v>In the Research Project Info tab, select a NIA Study Institute partner to access data year availability information.</v>
      </c>
      <c r="F401">
        <f>VLOOKUP(CONCATENATE(StudyName, 'File-Level_Request'!B38),Study_Data_Year_Lookup,3,FALSE)</f>
        <v>0</v>
      </c>
    </row>
    <row r="402" spans="2:6" x14ac:dyDescent="0.3">
      <c r="B402" t="s">
        <v>267</v>
      </c>
      <c r="C402" t="s">
        <v>594</v>
      </c>
      <c r="D402" t="s">
        <v>595</v>
      </c>
      <c r="E402" t="str">
        <f>VLOOKUP(CONCATENATE(StudyName, 'File-Level_Request'!B39),Study_Data_Year_Lookup,2,FALSE)</f>
        <v>In the Research Project Info tab, select a NIA Study Institute partner to access data year availability information.</v>
      </c>
      <c r="F402">
        <f>VLOOKUP(CONCATENATE(StudyName, 'File-Level_Request'!B39),Study_Data_Year_Lookup,3,FALSE)</f>
        <v>0</v>
      </c>
    </row>
    <row r="403" spans="2:6" x14ac:dyDescent="0.3">
      <c r="B403" t="s">
        <v>432</v>
      </c>
      <c r="C403" t="s">
        <v>439</v>
      </c>
      <c r="D403" t="s">
        <v>457</v>
      </c>
      <c r="E403" t="str">
        <f>VLOOKUP(CONCATENATE(StudyName, 'File-Level_Request'!B45),Study_Data_Year_Lookup,2,FALSE)</f>
        <v>In the Research Project Info tab, select a NIA Study Institute partner to access data year availability information.</v>
      </c>
      <c r="F403">
        <f>VLOOKUP(CONCATENATE(StudyName, 'File-Level_Request'!B45),Study_Data_Year_Lookup,3,FALSE)</f>
        <v>0</v>
      </c>
    </row>
    <row r="404" spans="2:6" x14ac:dyDescent="0.3">
      <c r="B404" t="s">
        <v>433</v>
      </c>
      <c r="C404" t="s">
        <v>443</v>
      </c>
      <c r="D404" t="s">
        <v>458</v>
      </c>
      <c r="E404" t="str">
        <f>VLOOKUP(CONCATENATE(StudyName, 'File-Level_Request'!B46),Study_Data_Year_Lookup,2,FALSE)</f>
        <v>In the Research Project Info tab, select a NIA Study Institute partner to access data year availability information.</v>
      </c>
      <c r="F404">
        <f>VLOOKUP(CONCATENATE(StudyName, 'File-Level_Request'!B46),Study_Data_Year_Lookup,3,FALSE)</f>
        <v>0</v>
      </c>
    </row>
    <row r="405" spans="2:6" x14ac:dyDescent="0.3">
      <c r="B405" t="s">
        <v>434</v>
      </c>
      <c r="C405" t="s">
        <v>444</v>
      </c>
      <c r="D405" t="s">
        <v>459</v>
      </c>
      <c r="E405" t="str">
        <f>VLOOKUP(CONCATENATE(StudyName, 'File-Level_Request'!B47),Study_Data_Year_Lookup,2,FALSE)</f>
        <v>In the Research Project Info tab, select a NIA Study Institute partner to access data year availability information.</v>
      </c>
      <c r="F405">
        <f>VLOOKUP(CONCATENATE(StudyName, 'File-Level_Request'!B47),Study_Data_Year_Lookup,3,FALSE)</f>
        <v>0</v>
      </c>
    </row>
    <row r="406" spans="2:6" x14ac:dyDescent="0.3">
      <c r="B406" t="s">
        <v>435</v>
      </c>
      <c r="C406" t="s">
        <v>440</v>
      </c>
      <c r="D406" t="s">
        <v>460</v>
      </c>
      <c r="E406" t="str">
        <f>VLOOKUP(CONCATENATE(StudyName, 'File-Level_Request'!B48),Study_Data_Year_Lookup,2,FALSE)</f>
        <v>In the Research Project Info tab, select a NIA Study Institute partner to access data year availability information.</v>
      </c>
      <c r="F406">
        <f>VLOOKUP(CONCATENATE(StudyName, 'File-Level_Request'!B48),Study_Data_Year_Lookup,3,FALSE)</f>
        <v>0</v>
      </c>
    </row>
    <row r="407" spans="2:6" x14ac:dyDescent="0.3">
      <c r="B407" t="s">
        <v>436</v>
      </c>
      <c r="C407" t="s">
        <v>441</v>
      </c>
      <c r="D407" t="s">
        <v>461</v>
      </c>
      <c r="E407" t="str">
        <f>VLOOKUP(CONCATENATE(StudyName, 'File-Level_Request'!B49),Study_Data_Year_Lookup,2,FALSE)</f>
        <v>In the Research Project Info tab, select a NIA Study Institute partner to access data year availability information.</v>
      </c>
      <c r="F407">
        <f>VLOOKUP(CONCATENATE(StudyName, 'File-Level_Request'!B49),Study_Data_Year_Lookup,3,FALSE)</f>
        <v>0</v>
      </c>
    </row>
    <row r="408" spans="2:6" x14ac:dyDescent="0.3">
      <c r="B408" t="s">
        <v>437</v>
      </c>
      <c r="C408" t="s">
        <v>442</v>
      </c>
      <c r="D408" t="s">
        <v>462</v>
      </c>
      <c r="E408" t="str">
        <f>VLOOKUP(CONCATENATE(StudyName, 'File-Level_Request'!B50),Study_Data_Year_Lookup,2,FALSE)</f>
        <v>In the Research Project Info tab, select a NIA Study Institute partner to access data year availability information.</v>
      </c>
      <c r="F408">
        <f>VLOOKUP(CONCATENATE(StudyName, 'File-Level_Request'!B50),Study_Data_Year_Lookup,3,FALSE)</f>
        <v>0</v>
      </c>
    </row>
    <row r="409" spans="2:6" x14ac:dyDescent="0.3">
      <c r="B409" t="s">
        <v>438</v>
      </c>
      <c r="C409" t="s">
        <v>445</v>
      </c>
      <c r="D409" t="s">
        <v>463</v>
      </c>
      <c r="E409" t="str">
        <f>VLOOKUP(CONCATENATE(StudyName, 'File-Level_Request'!B51),Study_Data_Year_Lookup,2,FALSE)</f>
        <v>In the Research Project Info tab, select a NIA Study Institute partner to access data year availability information.</v>
      </c>
      <c r="F409">
        <f>VLOOKUP(CONCATENATE(StudyName, 'File-Level_Request'!B51),Study_Data_Year_Lookup,3,FALSE)</f>
        <v>0</v>
      </c>
    </row>
    <row r="410" spans="2:6" x14ac:dyDescent="0.3">
      <c r="B410" t="s">
        <v>715</v>
      </c>
      <c r="C410" t="s">
        <v>446</v>
      </c>
      <c r="D410" t="s">
        <v>464</v>
      </c>
      <c r="E410" t="str">
        <f>VLOOKUP(CONCATENATE(StudyName, 'File-Level_Request'!B52),Study_Data_Year_Lookup,2,FALSE)</f>
        <v>In the Research Project Info tab, select a NIA Study Institute partner to access data year availability information.</v>
      </c>
      <c r="F410">
        <f>VLOOKUP(CONCATENATE(StudyName, 'File-Level_Request'!B52),Study_Data_Year_Lookup,3,FALSE)</f>
        <v>0</v>
      </c>
    </row>
    <row r="411" spans="2:6" x14ac:dyDescent="0.3">
      <c r="B411" t="s">
        <v>260</v>
      </c>
      <c r="C411" t="s">
        <v>606</v>
      </c>
      <c r="D411" t="s">
        <v>607</v>
      </c>
      <c r="E411" t="str">
        <f>VLOOKUP(CONCATENATE(StudyName, 'File-Level_Request'!B58),Study_Data_Year_Lookup,2,FALSE)</f>
        <v>In the Research Project Info tab, select a NIA Study Institute partner to access data year availability information.</v>
      </c>
      <c r="F411">
        <f>VLOOKUP(CONCATENATE(StudyName, 'File-Level_Request'!B58),Study_Data_Year_Lookup,3,FALSE)</f>
        <v>0</v>
      </c>
    </row>
    <row r="412" spans="2:6" x14ac:dyDescent="0.3">
      <c r="B412" t="s">
        <v>261</v>
      </c>
      <c r="C412" t="s">
        <v>596</v>
      </c>
      <c r="D412" t="s">
        <v>597</v>
      </c>
      <c r="E412" t="str">
        <f>VLOOKUP(CONCATENATE(StudyName, 'File-Level_Request'!B59),Study_Data_Year_Lookup,2,FALSE)</f>
        <v>In the Research Project Info tab, select a NIA Study Institute partner to access data year availability information.</v>
      </c>
      <c r="F412">
        <f>VLOOKUP(CONCATENATE(StudyName, 'File-Level_Request'!B59),Study_Data_Year_Lookup,3,FALSE)</f>
        <v>0</v>
      </c>
    </row>
    <row r="413" spans="2:6" x14ac:dyDescent="0.3">
      <c r="B413" t="s">
        <v>262</v>
      </c>
      <c r="C413" t="s">
        <v>598</v>
      </c>
      <c r="D413" t="s">
        <v>599</v>
      </c>
      <c r="E413" t="str">
        <f>VLOOKUP(CONCATENATE(StudyName, 'File-Level_Request'!B60),Study_Data_Year_Lookup,2,FALSE)</f>
        <v>In the Research Project Info tab, select a NIA Study Institute partner to access data year availability information.</v>
      </c>
      <c r="F413">
        <f>VLOOKUP(CONCATENATE(StudyName, 'File-Level_Request'!B60),Study_Data_Year_Lookup,3,FALSE)</f>
        <v>0</v>
      </c>
    </row>
    <row r="414" spans="2:6" x14ac:dyDescent="0.3">
      <c r="B414" t="s">
        <v>263</v>
      </c>
      <c r="C414" t="s">
        <v>600</v>
      </c>
      <c r="D414" t="s">
        <v>601</v>
      </c>
      <c r="E414" t="str">
        <f>VLOOKUP(CONCATENATE(StudyName, 'File-Level_Request'!B61),Study_Data_Year_Lookup,2,FALSE)</f>
        <v>In the Research Project Info tab, select a NIA Study Institute partner to access data year availability information.</v>
      </c>
      <c r="F414">
        <f>VLOOKUP(CONCATENATE(StudyName, 'File-Level_Request'!B61),Study_Data_Year_Lookup,3,FALSE)</f>
        <v>0</v>
      </c>
    </row>
    <row r="415" spans="2:6" x14ac:dyDescent="0.3">
      <c r="B415" t="s">
        <v>264</v>
      </c>
      <c r="C415" t="s">
        <v>602</v>
      </c>
      <c r="D415" t="s">
        <v>603</v>
      </c>
      <c r="E415" t="str">
        <f>VLOOKUP(CONCATENATE(StudyName, 'File-Level_Request'!B62),Study_Data_Year_Lookup,2,FALSE)</f>
        <v>In the Research Project Info tab, select a NIA Study Institute partner to access data year availability information.</v>
      </c>
      <c r="F415">
        <f>VLOOKUP(CONCATENATE(StudyName, 'File-Level_Request'!B62),Study_Data_Year_Lookup,3,FALSE)</f>
        <v>0</v>
      </c>
    </row>
    <row r="416" spans="2:6" x14ac:dyDescent="0.3">
      <c r="B416" t="s">
        <v>265</v>
      </c>
      <c r="C416" t="s">
        <v>604</v>
      </c>
      <c r="D416" t="s">
        <v>605</v>
      </c>
      <c r="E416" t="str">
        <f>VLOOKUP(CONCATENATE(StudyName, 'File-Level_Request'!B63),Study_Data_Year_Lookup,2,FALSE)</f>
        <v>In the Research Project Info tab, select a NIA Study Institute partner to access data year availability information.</v>
      </c>
      <c r="F416">
        <f>VLOOKUP(CONCATENATE(StudyName, 'File-Level_Request'!B63),Study_Data_Year_Lookup,3,FALSE)</f>
        <v>0</v>
      </c>
    </row>
    <row r="417" spans="2:6" x14ac:dyDescent="0.3">
      <c r="B417" t="s">
        <v>237</v>
      </c>
      <c r="C417" t="s">
        <v>454</v>
      </c>
      <c r="D417" t="s">
        <v>465</v>
      </c>
      <c r="E417" t="str">
        <f>VLOOKUP(CONCATENATE(StudyName, 'File-Level_Request'!B71),Study_Data_Year_Lookup,2,FALSE)</f>
        <v>In the Research Project Info tab, select a NIA Study Institute partner to access data year availability information.</v>
      </c>
      <c r="F417">
        <f>VLOOKUP(CONCATENATE(StudyName, 'File-Level_Request'!B71),Study_Data_Year_Lookup,3,FALSE)</f>
        <v>0</v>
      </c>
    </row>
    <row r="418" spans="2:6" x14ac:dyDescent="0.3">
      <c r="B418" t="s">
        <v>243</v>
      </c>
      <c r="C418" t="s">
        <v>447</v>
      </c>
      <c r="D418" t="s">
        <v>466</v>
      </c>
      <c r="E418" t="str">
        <f>VLOOKUP(CONCATENATE(StudyName, 'File-Level_Request'!B78),Study_Data_Year_Lookup,2,FALSE)</f>
        <v>In the Research Project Info tab, select a NIA Study Institute partner to access data year availability information.</v>
      </c>
      <c r="F418">
        <f>VLOOKUP(CONCATENATE(StudyName, 'File-Level_Request'!B78),Study_Data_Year_Lookup,3,FALSE)</f>
        <v>0</v>
      </c>
    </row>
    <row r="419" spans="2:6" x14ac:dyDescent="0.3">
      <c r="B419" t="s">
        <v>244</v>
      </c>
      <c r="C419" t="s">
        <v>448</v>
      </c>
      <c r="D419" t="s">
        <v>467</v>
      </c>
      <c r="E419" t="str">
        <f>VLOOKUP(CONCATENATE(StudyName, 'File-Level_Request'!B79),Study_Data_Year_Lookup,2,FALSE)</f>
        <v>In the Research Project Info tab, select a NIA Study Institute partner to access data year availability information.</v>
      </c>
      <c r="F419">
        <f>VLOOKUP(CONCATENATE(StudyName, 'File-Level_Request'!B79),Study_Data_Year_Lookup,3,FALSE)</f>
        <v>0</v>
      </c>
    </row>
    <row r="420" spans="2:6" x14ac:dyDescent="0.3">
      <c r="B420" t="s">
        <v>245</v>
      </c>
      <c r="C420" t="s">
        <v>449</v>
      </c>
      <c r="D420" t="s">
        <v>468</v>
      </c>
      <c r="E420" t="str">
        <f>VLOOKUP(CONCATENATE(StudyName, 'File-Level_Request'!B80),Study_Data_Year_Lookup,2,FALSE)</f>
        <v>In the Research Project Info tab, select a NIA Study Institute partner to access data year availability information.</v>
      </c>
      <c r="F420">
        <f>VLOOKUP(CONCATENATE(StudyName, 'File-Level_Request'!B80),Study_Data_Year_Lookup,3,FALSE)</f>
        <v>0</v>
      </c>
    </row>
    <row r="421" spans="2:6" x14ac:dyDescent="0.3">
      <c r="B421" t="s">
        <v>248</v>
      </c>
      <c r="C421" t="s">
        <v>450</v>
      </c>
      <c r="D421" t="s">
        <v>469</v>
      </c>
      <c r="E421" t="str">
        <f>VLOOKUP(CONCATENATE(StudyName, 'File-Level_Request'!B81),Study_Data_Year_Lookup,2,FALSE)</f>
        <v>In the Research Project Info tab, select a NIA Study Institute partner to access data year availability information.</v>
      </c>
      <c r="F421">
        <f>VLOOKUP(CONCATENATE(StudyName, 'File-Level_Request'!B81),Study_Data_Year_Lookup,3,FALSE)</f>
        <v>0</v>
      </c>
    </row>
    <row r="422" spans="2:6" x14ac:dyDescent="0.3">
      <c r="B422" t="s">
        <v>268</v>
      </c>
      <c r="C422" t="s">
        <v>608</v>
      </c>
      <c r="D422" t="s">
        <v>609</v>
      </c>
      <c r="E422" t="str">
        <f>VLOOKUP(CONCATENATE(StudyName, 'File-Level_Request'!B82),Study_Data_Year_Lookup,2,FALSE)</f>
        <v>In the Research Project Info tab, select a NIA Study Institute partner to access data year availability information.</v>
      </c>
      <c r="F422">
        <f>VLOOKUP(CONCATENATE(StudyName, 'File-Level_Request'!B82),Study_Data_Year_Lookup,3,FALSE)</f>
        <v>0</v>
      </c>
    </row>
    <row r="423" spans="2:6" x14ac:dyDescent="0.3">
      <c r="B423" t="s">
        <v>269</v>
      </c>
      <c r="C423" t="s">
        <v>610</v>
      </c>
      <c r="D423" t="s">
        <v>611</v>
      </c>
      <c r="E423" t="str">
        <f>VLOOKUP(CONCATENATE(StudyName, 'File-Level_Request'!B83),Study_Data_Year_Lookup,2,FALSE)</f>
        <v>In the Research Project Info tab, select a NIA Study Institute partner to access data year availability information.</v>
      </c>
      <c r="F423">
        <f>VLOOKUP(CONCATENATE(StudyName, 'File-Level_Request'!B83),Study_Data_Year_Lookup,3,FALSE)</f>
        <v>0</v>
      </c>
    </row>
    <row r="424" spans="2:6" x14ac:dyDescent="0.3">
      <c r="B424" t="s">
        <v>270</v>
      </c>
      <c r="C424" t="s">
        <v>612</v>
      </c>
      <c r="D424" t="s">
        <v>613</v>
      </c>
      <c r="E424" t="str">
        <f>VLOOKUP(CONCATENATE(StudyName, 'File-Level_Request'!B84),Study_Data_Year_Lookup,2,FALSE)</f>
        <v>In the Research Project Info tab, select a NIA Study Institute partner to access data year availability information.</v>
      </c>
      <c r="F424">
        <f>VLOOKUP(CONCATENATE(StudyName, 'File-Level_Request'!B84),Study_Data_Year_Lookup,3,FALSE)</f>
        <v>0</v>
      </c>
    </row>
    <row r="425" spans="2:6" x14ac:dyDescent="0.3">
      <c r="B425" t="s">
        <v>271</v>
      </c>
      <c r="C425" t="s">
        <v>614</v>
      </c>
      <c r="D425" t="s">
        <v>615</v>
      </c>
      <c r="E425" t="str">
        <f>VLOOKUP(CONCATENATE(StudyName, 'File-Level_Request'!B85),Study_Data_Year_Lookup,2,FALSE)</f>
        <v>In the Research Project Info tab, select a NIA Study Institute partner to access data year availability information.</v>
      </c>
      <c r="F425">
        <f>VLOOKUP(CONCATENATE(StudyName, 'File-Level_Request'!B85),Study_Data_Year_Lookup,3,FALSE)</f>
        <v>0</v>
      </c>
    </row>
    <row r="426" spans="2:6" x14ac:dyDescent="0.3">
      <c r="B426" t="s">
        <v>365</v>
      </c>
      <c r="C426" t="s">
        <v>455</v>
      </c>
      <c r="D426" t="s">
        <v>470</v>
      </c>
      <c r="E426" t="str">
        <f>VLOOKUP(CONCATENATE(StudyName, B426),Study_Data_Year_Lookup,2,FALSE)</f>
        <v>In the Research Project Info tab, select a NIA Study Institute partner to access data year availability information.</v>
      </c>
      <c r="F426">
        <f>VLOOKUP(CONCATENATE(StudyName, B426),Study_Data_Year_Lookup,3,FALSE)</f>
        <v>0</v>
      </c>
    </row>
    <row r="427" spans="2:6" x14ac:dyDescent="0.3">
      <c r="B427" t="s">
        <v>299</v>
      </c>
      <c r="C427" t="s">
        <v>451</v>
      </c>
      <c r="D427" t="s">
        <v>471</v>
      </c>
      <c r="E427" t="str">
        <f>VLOOKUP(CONCATENATE(StudyName, B427),Study_Data_Year_Lookup,2,FALSE)</f>
        <v>In the Research Project Info tab, select a NIA Study Institute partner to access data year availability information.</v>
      </c>
      <c r="F427">
        <f>VLOOKUP(CONCATENATE(StudyName, B427),Study_Data_Year_Lookup,3,FALSE)</f>
        <v>0</v>
      </c>
    </row>
    <row r="428" spans="2:6" x14ac:dyDescent="0.3">
      <c r="B428" t="s">
        <v>38</v>
      </c>
      <c r="C428" t="s">
        <v>452</v>
      </c>
      <c r="D428" t="s">
        <v>472</v>
      </c>
      <c r="E428" t="str">
        <f>VLOOKUP(CONCATENATE(StudyName, B428),Study_Data_Year_Lookup,2,FALSE)</f>
        <v>In the Research Project Info tab, select a NIA Study Institute partner to access data year availability information.</v>
      </c>
      <c r="F428">
        <f>VLOOKUP(CONCATENATE(StudyName, B428),Study_Data_Year_Lookup,3,FALSE)</f>
        <v>0</v>
      </c>
    </row>
    <row r="429" spans="2:6" x14ac:dyDescent="0.3">
      <c r="B429" t="s">
        <v>357</v>
      </c>
      <c r="C429" t="s">
        <v>453</v>
      </c>
      <c r="D429" t="s">
        <v>473</v>
      </c>
      <c r="E429" t="str">
        <f>VLOOKUP(CONCATENATE(StudyName, B429),Study_Data_Year_Lookup,2,FALSE)</f>
        <v>In the Research Project Info tab, select a NIA Study Institute partner to access data year availability information.</v>
      </c>
      <c r="F429">
        <f>VLOOKUP(CONCATENATE(StudyName, B429),Study_Data_Year_Lookup,3,FALSE)</f>
        <v>0</v>
      </c>
    </row>
    <row r="430" spans="2:6" x14ac:dyDescent="0.3">
      <c r="B430" t="s">
        <v>290</v>
      </c>
      <c r="C430" t="s">
        <v>474</v>
      </c>
      <c r="D430" t="s">
        <v>475</v>
      </c>
      <c r="E430" t="str">
        <f>IF(DN_Min_Year="N/A",MBSF_Base_Min_Year,DN_Min_Year)</f>
        <v>In the Research Project Info tab, select a NIA Study Institute partner to access data year availability information.</v>
      </c>
      <c r="F430">
        <f>IF(MBSF_Base_Max_Year="N/A", DN_Max_Year,MBSF_Base_Max_Year)</f>
        <v>0</v>
      </c>
    </row>
    <row r="431" spans="2:6" x14ac:dyDescent="0.3">
      <c r="B431" s="1" t="s">
        <v>616</v>
      </c>
      <c r="C431" t="s">
        <v>617</v>
      </c>
      <c r="D431" t="s">
        <v>618</v>
      </c>
      <c r="E431">
        <f>IF(AND(MBSF_CC_Min_Year="N/A", MBSF_CU_Min_Year="N/A", MBSF_Other_Min_Year="N/A"),"N/A",MIN(E398:E400))</f>
        <v>0</v>
      </c>
      <c r="F431">
        <f>IF(AND(MBSF_CC_Max_Year="N/A", MBSF_CU_Max_Year="N/A", MBSF_Other_Max_Year="N/A"),"N/A",MAX(F398:F400))</f>
        <v>0</v>
      </c>
    </row>
    <row r="432" spans="2:6" x14ac:dyDescent="0.3">
      <c r="B432" t="s">
        <v>288</v>
      </c>
      <c r="C432" s="1" t="s">
        <v>477</v>
      </c>
      <c r="D432" s="1" t="s">
        <v>480</v>
      </c>
      <c r="E432" t="str">
        <f>IF(MAX_PS_Min_Year="N/A",TMSIS_DE_Min_Year,MAX_PS_Min_Year)</f>
        <v>In the Research Project Info tab, select a NIA Study Institute partner to access data year availability information.</v>
      </c>
      <c r="F432">
        <f>IF(TMSIS_DE_Max_Year="N/A", MAX_PS_Max_Year,TMSIS_DE_Max_Year)</f>
        <v>0</v>
      </c>
    </row>
    <row r="433" spans="2:6" x14ac:dyDescent="0.3">
      <c r="B433" t="s">
        <v>293</v>
      </c>
      <c r="C433" s="1" t="s">
        <v>481</v>
      </c>
      <c r="D433" s="1" t="s">
        <v>482</v>
      </c>
      <c r="E433">
        <f>IF(AND(AB_PB_Min_Year="N/A",AB_DM_Min_Year="N/A", AB_HH_Min_Year="N/A",AB_HS_Min_Year="N/A",AB_IP_Min_Year="N/A",AB_OP_Min_Year="N/A",AB_SN_Min_Year="N/A",MedPAR_Min_Year="N/A"),"N/A",MIN(E403:E410))</f>
        <v>0</v>
      </c>
      <c r="F433">
        <f>IF(AND(AB_PB_Max_Year="N/A",AB_DM_Max_Year="N/A", AB_HH_Max_Year="N/A",AB_HS_Max_Year="N/A",AB_IP_Max_Year="N/A",AB_OP_Max_Year="N/A",AB_SN_Max_Year="N/A",MedPAR_Max_Year="N/A"),"N/A",MAX(F403:F410))</f>
        <v>0</v>
      </c>
    </row>
    <row r="434" spans="2:6" x14ac:dyDescent="0.3">
      <c r="B434" t="s">
        <v>294</v>
      </c>
      <c r="C434" s="1" t="s">
        <v>619</v>
      </c>
      <c r="D434" s="1" t="s">
        <v>620</v>
      </c>
      <c r="E434">
        <f>IF(AND(C_Carrier_Min_Year="N/A",C_DME_Min_Year="N/A", C_HH_Min_Year="N/A",C_IP_Min_Year="N/A",C_OP_Min_Year="N/A",C_SNF_Min_Year="N/A"),"N/A",MIN(E411:E416))</f>
        <v>0</v>
      </c>
      <c r="F434">
        <f>IF(AND(C_Carrier_Max_Year="N/A",C_DME_Max_Year="N/A", C_HH_Max_Year="N/A",C_IP_Max_Year="N/A",C_OP_Max_Year="N/A",C_SNF_Max_Year="N/A"),"N/A",MAX(F411:F416))</f>
        <v>0</v>
      </c>
    </row>
    <row r="435" spans="2:6" x14ac:dyDescent="0.3">
      <c r="B435" t="s">
        <v>295</v>
      </c>
      <c r="C435" t="s">
        <v>478</v>
      </c>
      <c r="D435" t="s">
        <v>479</v>
      </c>
      <c r="E435">
        <f>IF(AND(MAX_IP_Min_Year="N/A",MAX_LT_Min_Year="N/A", MAX_OT_Min_Year="N/A",MAX_RX_Min_Year="N/A",TMSIS_IP_Min_Year="N/A",TMSIS_LT_Min_Year="N/A",TMSIS_OT_Min_Year="N/A",TMSIS_RX_Min_Year="N/A"),"N/A",MIN(E418:E425))</f>
        <v>0</v>
      </c>
      <c r="F435">
        <f>IF(AND(MAX_IP_Max_Year="N/A",MAX_LT_Max_Year="N/A", MAX_OT_Max_Year="N/A",MAX_RX_Max_Year="N/A",TMSIS_IP_Max_Year="N/A",TMSIS_LT_Max_Year="N/A",TMSIS_OT_Max_Year="N/A",TMSIS_RX_Max_Year="N/A"),"N/A",MAX(F418:F425))</f>
        <v>0</v>
      </c>
    </row>
    <row r="436" spans="2:6" x14ac:dyDescent="0.3">
      <c r="B436" t="s">
        <v>687</v>
      </c>
      <c r="C436" s="1" t="s">
        <v>690</v>
      </c>
      <c r="D436" s="1" t="s">
        <v>691</v>
      </c>
      <c r="E436" t="str">
        <f>VLOOKUP(CONCATENATE(StudyName, B436),Study_Data_Year_Lookup,2,FALSE)</f>
        <v>In the Research Project Info tab, select a NIA Study Institute partner to access data year availability information.</v>
      </c>
      <c r="F436">
        <f>VLOOKUP(CONCATENATE(StudyName, B436),Study_Data_Year_Lookup,3,FALSE)</f>
        <v>0</v>
      </c>
    </row>
  </sheetData>
  <sheetProtection algorithmName="SHA-512" hashValue="Z5nrrhCCE1YS5+RB0s+peGBVkU1bAyv9vA9Ja69j8Y5nTDlHAXm6vHD98+xJX9ijTly2+l31q0zGQWx+STjv/A==" saltValue="m9+Bm3kgmFbUqTBnWnOFYg==" spinCount="100000" sheet="1" objects="1" scenarios="1" selectLockedCells="1" selectUnlockedCells="1"/>
  <autoFilter ref="A7:F392" xr:uid="{00000000-0009-0000-0000-000010000000}"/>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31"/>
  <dimension ref="B1:O41"/>
  <sheetViews>
    <sheetView showGridLines="0" zoomScale="70" zoomScaleNormal="70" workbookViewId="0"/>
  </sheetViews>
  <sheetFormatPr defaultColWidth="8.6640625" defaultRowHeight="17.25" x14ac:dyDescent="0.3"/>
  <cols>
    <col min="1" max="1" width="2.6640625" style="1" customWidth="1"/>
    <col min="2" max="2" width="53.6640625" style="1" customWidth="1"/>
    <col min="3" max="4" width="65.6640625" style="1" customWidth="1"/>
    <col min="5" max="5" width="26.44140625" style="1" customWidth="1"/>
    <col min="6" max="6" width="25.6640625" style="1" customWidth="1"/>
    <col min="7" max="7" width="26.6640625" style="1" customWidth="1"/>
    <col min="8" max="8" width="15.109375" style="5" customWidth="1"/>
    <col min="9" max="9" width="17" style="5" customWidth="1"/>
    <col min="10" max="10" width="14.6640625" style="5" customWidth="1"/>
    <col min="11" max="11" width="8.6640625" style="5"/>
    <col min="12" max="12" width="13.109375" style="5" customWidth="1"/>
    <col min="13" max="13" width="15" style="5" customWidth="1"/>
    <col min="14" max="14" width="12.6640625" style="5" customWidth="1"/>
    <col min="15" max="15" width="8.6640625" style="1"/>
    <col min="16" max="16" width="11" style="1" customWidth="1"/>
    <col min="17" max="17" width="8.6640625" style="1"/>
    <col min="18" max="18" width="11" style="1" customWidth="1"/>
    <col min="19" max="19" width="8.5546875" style="1" customWidth="1"/>
    <col min="20" max="16384" width="8.6640625" style="1"/>
  </cols>
  <sheetData>
    <row r="1" spans="2:15" ht="21" x14ac:dyDescent="0.3">
      <c r="B1" s="3" t="s">
        <v>28</v>
      </c>
    </row>
    <row r="2" spans="2:15" ht="30.75" customHeight="1" x14ac:dyDescent="0.3">
      <c r="B2" s="4" t="s">
        <v>29</v>
      </c>
    </row>
    <row r="3" spans="2:15" x14ac:dyDescent="0.3">
      <c r="B3" s="2"/>
      <c r="C3" s="2"/>
      <c r="D3" s="2"/>
    </row>
    <row r="4" spans="2:15" x14ac:dyDescent="0.3">
      <c r="B4" s="7" t="s">
        <v>300</v>
      </c>
      <c r="C4" s="7"/>
      <c r="D4" s="10"/>
      <c r="E4" s="5"/>
      <c r="F4" s="5"/>
      <c r="G4" s="5"/>
      <c r="O4" s="5"/>
    </row>
    <row r="5" spans="2:15" x14ac:dyDescent="0.3">
      <c r="B5" s="7" t="s">
        <v>87</v>
      </c>
      <c r="C5" s="11" t="s">
        <v>88</v>
      </c>
      <c r="D5" s="7" t="s">
        <v>410</v>
      </c>
      <c r="F5" s="5"/>
      <c r="G5" s="5"/>
      <c r="O5" s="5"/>
    </row>
    <row r="6" spans="2:15" x14ac:dyDescent="0.3">
      <c r="B6" s="9">
        <v>0</v>
      </c>
      <c r="F6" s="5"/>
      <c r="G6" s="5"/>
      <c r="O6" s="5"/>
    </row>
    <row r="7" spans="2:15" x14ac:dyDescent="0.3">
      <c r="B7" s="8">
        <v>1</v>
      </c>
      <c r="C7" s="1" t="s">
        <v>23</v>
      </c>
      <c r="D7" s="1" t="s">
        <v>108</v>
      </c>
      <c r="E7" s="5"/>
      <c r="F7" s="5"/>
      <c r="G7" s="5"/>
      <c r="O7" s="5"/>
    </row>
    <row r="8" spans="2:15" x14ac:dyDescent="0.3">
      <c r="B8" s="8">
        <v>2</v>
      </c>
      <c r="C8" s="1" t="s">
        <v>571</v>
      </c>
      <c r="D8" s="1" t="s">
        <v>217</v>
      </c>
      <c r="E8" s="5"/>
      <c r="F8" s="5"/>
      <c r="G8" s="5"/>
      <c r="O8" s="5"/>
    </row>
    <row r="9" spans="2:15" x14ac:dyDescent="0.3">
      <c r="B9" s="8">
        <v>3</v>
      </c>
      <c r="C9" s="1" t="s">
        <v>570</v>
      </c>
      <c r="D9" s="1" t="s">
        <v>218</v>
      </c>
      <c r="E9" s="5"/>
      <c r="F9" s="5"/>
      <c r="G9" s="5"/>
      <c r="O9" s="5"/>
    </row>
    <row r="10" spans="2:15" x14ac:dyDescent="0.3">
      <c r="B10" s="8">
        <v>4</v>
      </c>
      <c r="C10" s="1" t="s">
        <v>572</v>
      </c>
      <c r="D10" s="1" t="s">
        <v>39</v>
      </c>
      <c r="E10" s="5"/>
      <c r="F10" s="5"/>
      <c r="G10" s="5"/>
      <c r="O10" s="5"/>
    </row>
    <row r="11" spans="2:15" x14ac:dyDescent="0.3">
      <c r="B11" s="8">
        <v>5</v>
      </c>
      <c r="C11" s="1" t="s">
        <v>401</v>
      </c>
      <c r="D11" s="1" t="s">
        <v>222</v>
      </c>
      <c r="E11" s="5"/>
      <c r="F11" s="5"/>
      <c r="G11" s="5"/>
      <c r="O11" s="5"/>
    </row>
    <row r="12" spans="2:15" x14ac:dyDescent="0.3">
      <c r="B12" s="8">
        <v>6</v>
      </c>
      <c r="C12" s="1" t="s">
        <v>573</v>
      </c>
      <c r="D12" s="1" t="s">
        <v>223</v>
      </c>
      <c r="E12" s="5"/>
      <c r="F12" s="5"/>
      <c r="G12" s="5"/>
      <c r="O12" s="5"/>
    </row>
    <row r="13" spans="2:15" x14ac:dyDescent="0.3">
      <c r="B13" s="8">
        <v>7</v>
      </c>
      <c r="C13" s="1" t="s">
        <v>569</v>
      </c>
      <c r="D13" s="1" t="s">
        <v>224</v>
      </c>
      <c r="E13" s="5"/>
      <c r="G13" s="5"/>
      <c r="O13" s="5"/>
    </row>
    <row r="14" spans="2:15" x14ac:dyDescent="0.3">
      <c r="B14" s="8">
        <v>8</v>
      </c>
      <c r="C14" s="1" t="s">
        <v>24</v>
      </c>
      <c r="D14" s="1" t="s">
        <v>112</v>
      </c>
      <c r="E14" s="5"/>
      <c r="F14" s="5"/>
      <c r="G14" s="5"/>
      <c r="O14" s="5"/>
    </row>
    <row r="15" spans="2:15" x14ac:dyDescent="0.3">
      <c r="B15" s="8">
        <v>9</v>
      </c>
      <c r="C15" s="1" t="s">
        <v>686</v>
      </c>
      <c r="D15" s="1" t="s">
        <v>686</v>
      </c>
      <c r="E15" s="5"/>
      <c r="F15" s="5"/>
      <c r="G15" s="5"/>
      <c r="O15" s="5"/>
    </row>
    <row r="16" spans="2:15" x14ac:dyDescent="0.3">
      <c r="B16" s="8">
        <v>10</v>
      </c>
      <c r="E16" s="5"/>
      <c r="F16" s="5"/>
      <c r="G16" s="5"/>
      <c r="O16" s="5"/>
    </row>
    <row r="17" spans="2:15" x14ac:dyDescent="0.3">
      <c r="B17" s="8">
        <v>11</v>
      </c>
      <c r="E17" s="5"/>
      <c r="F17" s="5"/>
      <c r="G17" s="5"/>
      <c r="O17" s="5"/>
    </row>
    <row r="18" spans="2:15" x14ac:dyDescent="0.3">
      <c r="B18" s="8">
        <v>12</v>
      </c>
      <c r="E18" s="5"/>
      <c r="F18" s="5"/>
      <c r="G18" s="5"/>
      <c r="O18" s="5"/>
    </row>
    <row r="19" spans="2:15" x14ac:dyDescent="0.3">
      <c r="B19" s="8">
        <v>13</v>
      </c>
      <c r="E19" s="5"/>
      <c r="F19" s="5"/>
      <c r="G19" s="5"/>
      <c r="O19" s="5"/>
    </row>
    <row r="20" spans="2:15" x14ac:dyDescent="0.3">
      <c r="B20" s="8">
        <v>14</v>
      </c>
      <c r="E20" s="5"/>
      <c r="F20" s="5"/>
      <c r="G20" s="5"/>
      <c r="O20" s="5"/>
    </row>
    <row r="21" spans="2:15" x14ac:dyDescent="0.3">
      <c r="B21" s="8">
        <v>15</v>
      </c>
      <c r="E21" s="5"/>
      <c r="F21" s="5"/>
      <c r="G21" s="5"/>
      <c r="O21" s="5"/>
    </row>
    <row r="22" spans="2:15" x14ac:dyDescent="0.3">
      <c r="B22" s="8">
        <v>16</v>
      </c>
      <c r="C22" s="1" t="s">
        <v>484</v>
      </c>
      <c r="D22" s="1" t="s">
        <v>483</v>
      </c>
      <c r="E22" s="5"/>
      <c r="F22" s="5"/>
      <c r="G22" s="5"/>
      <c r="O22" s="5"/>
    </row>
    <row r="23" spans="2:15" x14ac:dyDescent="0.3">
      <c r="B23" s="8">
        <v>17</v>
      </c>
      <c r="E23" s="5"/>
      <c r="F23" s="5"/>
      <c r="G23" s="5"/>
      <c r="O23" s="5"/>
    </row>
    <row r="24" spans="2:15" x14ac:dyDescent="0.3">
      <c r="B24" s="8">
        <v>18</v>
      </c>
      <c r="E24" s="5"/>
      <c r="F24" s="5"/>
      <c r="G24" s="5"/>
      <c r="O24" s="5"/>
    </row>
    <row r="25" spans="2:15" x14ac:dyDescent="0.3">
      <c r="B25" s="8">
        <v>19</v>
      </c>
      <c r="E25" s="5"/>
      <c r="F25" s="5"/>
      <c r="G25" s="5"/>
      <c r="O25" s="5"/>
    </row>
    <row r="26" spans="2:15" x14ac:dyDescent="0.3">
      <c r="B26" s="8">
        <v>20</v>
      </c>
      <c r="E26" s="5"/>
      <c r="F26" s="5"/>
      <c r="G26" s="5"/>
      <c r="O26" s="5"/>
    </row>
    <row r="27" spans="2:15" x14ac:dyDescent="0.3">
      <c r="B27" s="8">
        <v>21</v>
      </c>
      <c r="E27" s="5"/>
      <c r="F27" s="5"/>
      <c r="G27" s="5"/>
      <c r="O27" s="5"/>
    </row>
    <row r="28" spans="2:15" x14ac:dyDescent="0.3">
      <c r="B28" s="5"/>
      <c r="C28" s="5"/>
      <c r="D28" s="5"/>
      <c r="F28" s="5"/>
      <c r="G28" s="5"/>
      <c r="O28" s="5"/>
    </row>
    <row r="29" spans="2:15" x14ac:dyDescent="0.3">
      <c r="B29" s="7" t="s">
        <v>301</v>
      </c>
      <c r="C29" s="7" t="s">
        <v>304</v>
      </c>
    </row>
    <row r="30" spans="2:15" x14ac:dyDescent="0.3">
      <c r="B30" s="7" t="s">
        <v>303</v>
      </c>
      <c r="C30" s="7" t="s">
        <v>302</v>
      </c>
    </row>
    <row r="31" spans="2:15" x14ac:dyDescent="0.3">
      <c r="B31" s="1">
        <v>0</v>
      </c>
      <c r="C31" s="1" t="s">
        <v>50</v>
      </c>
      <c r="D31" s="1" t="s">
        <v>13</v>
      </c>
    </row>
    <row r="32" spans="2:15" x14ac:dyDescent="0.3">
      <c r="B32" s="1" t="s">
        <v>34</v>
      </c>
      <c r="C32" s="1" t="s">
        <v>34</v>
      </c>
    </row>
    <row r="33" spans="2:5" x14ac:dyDescent="0.3">
      <c r="B33" s="1" t="s">
        <v>35</v>
      </c>
      <c r="C33" s="1" t="s">
        <v>35</v>
      </c>
      <c r="D33" s="1" t="s">
        <v>13</v>
      </c>
    </row>
    <row r="34" spans="2:5" x14ac:dyDescent="0.3">
      <c r="B34" s="1" t="s">
        <v>37</v>
      </c>
      <c r="C34" s="1" t="s">
        <v>110</v>
      </c>
      <c r="D34" s="1" t="s">
        <v>50</v>
      </c>
      <c r="E34" s="5" t="s">
        <v>13</v>
      </c>
    </row>
    <row r="35" spans="2:5" x14ac:dyDescent="0.3">
      <c r="B35" s="1" t="s">
        <v>36</v>
      </c>
      <c r="C35" s="1" t="s">
        <v>89</v>
      </c>
      <c r="D35" s="1" t="s">
        <v>90</v>
      </c>
      <c r="E35" s="5" t="s">
        <v>49</v>
      </c>
    </row>
    <row r="36" spans="2:5" x14ac:dyDescent="0.3">
      <c r="B36" s="1" t="s">
        <v>621</v>
      </c>
      <c r="C36" s="1" t="s">
        <v>110</v>
      </c>
      <c r="D36" s="1" t="s">
        <v>90</v>
      </c>
      <c r="E36" s="1" t="s">
        <v>91</v>
      </c>
    </row>
    <row r="37" spans="2:5" x14ac:dyDescent="0.3">
      <c r="B37" s="1" t="s">
        <v>622</v>
      </c>
      <c r="C37" s="1" t="s">
        <v>110</v>
      </c>
      <c r="D37" s="1" t="s">
        <v>90</v>
      </c>
      <c r="E37" s="5"/>
    </row>
    <row r="38" spans="2:5" x14ac:dyDescent="0.3">
      <c r="B38" s="1" t="s">
        <v>27</v>
      </c>
      <c r="C38" s="1" t="s">
        <v>27</v>
      </c>
      <c r="D38" s="1" t="s">
        <v>90</v>
      </c>
      <c r="E38" s="5"/>
    </row>
    <row r="39" spans="2:5" ht="34.5" x14ac:dyDescent="0.3">
      <c r="C39" s="1" t="s">
        <v>559</v>
      </c>
      <c r="D39" s="1" t="s">
        <v>90</v>
      </c>
      <c r="E39" s="5"/>
    </row>
    <row r="40" spans="2:5" x14ac:dyDescent="0.3">
      <c r="C40" s="1" t="s">
        <v>111</v>
      </c>
      <c r="E40" s="5"/>
    </row>
    <row r="41" spans="2:5" x14ac:dyDescent="0.3">
      <c r="C41" s="1" t="s">
        <v>101</v>
      </c>
    </row>
  </sheetData>
  <sheetProtection algorithmName="SHA-512" hashValue="ewQWyXejmNvIfyIv97HNsdrCGd9lFCBC4BBH0ecU0JpTtZqU6Y4Tothhz4auZglAfpmz/TxtrHaSxAoCr0Kn4Q==" saltValue="h4udX1J3aW13/gLtVxIMvA==" spinCount="100000" sheet="1" objects="1" scenarios="1" selectLockedCells="1" selectUnlockedCells="1"/>
  <customSheetViews>
    <customSheetView guid="{9DB63C14-8C2E-43D7-ACAD-1DD967C25093}" scale="85" showGridLines="0" topLeftCell="A259">
      <selection activeCell="C288" sqref="C288:C293"/>
      <pageMargins left="0.7" right="0.7" top="0.75" bottom="0.75" header="0.3" footer="0.3"/>
      <pageSetup orientation="portrait" r:id="rId1"/>
    </customSheetView>
  </customSheetViews>
  <pageMargins left="0.7" right="0.7" top="0.75" bottom="0.75" header="0.3" footer="0.3"/>
  <pageSetup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A2C375-FAEF-4A2E-8090-CD826A2A4AEA}">
  <sheetPr codeName="Sheet22"/>
  <dimension ref="A1:G291"/>
  <sheetViews>
    <sheetView zoomScale="70" zoomScaleNormal="70" workbookViewId="0">
      <pane xSplit="1" ySplit="3" topLeftCell="B4" activePane="bottomRight" state="frozen"/>
      <selection pane="topRight" activeCell="B1" sqref="B1"/>
      <selection pane="bottomLeft" activeCell="A3" sqref="A3"/>
      <selection pane="bottomRight"/>
    </sheetView>
  </sheetViews>
  <sheetFormatPr defaultColWidth="8.88671875" defaultRowHeight="17.25" x14ac:dyDescent="0.3"/>
  <cols>
    <col min="1" max="1" width="8.88671875" style="17"/>
    <col min="2" max="2" width="32.44140625" style="17" bestFit="1" customWidth="1"/>
    <col min="3" max="3" width="35.109375" style="17" bestFit="1" customWidth="1"/>
    <col min="4" max="4" width="20.77734375" style="17" customWidth="1"/>
    <col min="5" max="6" width="8.88671875" style="17"/>
    <col min="7" max="7" width="54.109375" style="17" bestFit="1" customWidth="1"/>
    <col min="8" max="16384" width="8.88671875" style="17"/>
  </cols>
  <sheetData>
    <row r="1" spans="1:7" ht="21" x14ac:dyDescent="0.3">
      <c r="A1" s="3" t="s">
        <v>28</v>
      </c>
      <c r="D1" s="18"/>
    </row>
    <row r="2" spans="1:7" ht="21" x14ac:dyDescent="0.3">
      <c r="A2" s="3" t="s">
        <v>633</v>
      </c>
      <c r="D2" s="18"/>
    </row>
    <row r="3" spans="1:7" x14ac:dyDescent="0.3">
      <c r="A3" s="14" t="s">
        <v>486</v>
      </c>
      <c r="B3" s="14" t="s">
        <v>487</v>
      </c>
      <c r="C3" s="14" t="s">
        <v>31</v>
      </c>
      <c r="D3" s="16" t="s">
        <v>26</v>
      </c>
    </row>
    <row r="4" spans="1:7" x14ac:dyDescent="0.3">
      <c r="A4" s="17" t="s">
        <v>108</v>
      </c>
      <c r="B4" s="17" t="str">
        <f t="shared" ref="B4:B67" si="0">CONCATENATE(A4,C4)</f>
        <v>HRSCLM_PTNT_RSDNC_CD</v>
      </c>
      <c r="C4" s="13" t="s">
        <v>55</v>
      </c>
      <c r="D4" s="17">
        <v>0</v>
      </c>
      <c r="F4" s="17" t="s">
        <v>30</v>
      </c>
      <c r="G4" s="17" t="s">
        <v>86</v>
      </c>
    </row>
    <row r="5" spans="1:7" x14ac:dyDescent="0.3">
      <c r="A5" s="17" t="s">
        <v>108</v>
      </c>
      <c r="B5" s="17" t="str">
        <f t="shared" si="0"/>
        <v>HRSRX_DOS_DT</v>
      </c>
      <c r="C5" s="13" t="s">
        <v>51</v>
      </c>
      <c r="D5" s="17">
        <v>0</v>
      </c>
      <c r="F5" s="17" t="s">
        <v>488</v>
      </c>
      <c r="G5" s="17" t="s">
        <v>23</v>
      </c>
    </row>
    <row r="6" spans="1:7" x14ac:dyDescent="0.3">
      <c r="A6" s="17" t="s">
        <v>108</v>
      </c>
      <c r="B6" s="17" t="str">
        <f t="shared" si="0"/>
        <v>HRSQUANTITY_DISPENSED</v>
      </c>
      <c r="C6" s="13" t="s">
        <v>144</v>
      </c>
      <c r="D6" s="17">
        <v>0</v>
      </c>
      <c r="F6" s="17" t="s">
        <v>488</v>
      </c>
      <c r="G6" s="17" t="s">
        <v>25</v>
      </c>
    </row>
    <row r="7" spans="1:7" x14ac:dyDescent="0.3">
      <c r="A7" s="17" t="s">
        <v>108</v>
      </c>
      <c r="B7" s="17" t="str">
        <f t="shared" si="0"/>
        <v>HRSPROD_SERVICE_ID</v>
      </c>
      <c r="C7" s="13" t="s">
        <v>146</v>
      </c>
      <c r="D7" s="17">
        <v>0</v>
      </c>
      <c r="F7" s="17" t="s">
        <v>488</v>
      </c>
      <c r="G7" s="17" t="s">
        <v>401</v>
      </c>
    </row>
    <row r="8" spans="1:7" x14ac:dyDescent="0.3">
      <c r="A8" s="17" t="s">
        <v>108</v>
      </c>
      <c r="B8" s="17" t="str">
        <f t="shared" si="0"/>
        <v>HRSDAYS_SUPPLY</v>
      </c>
      <c r="C8" s="13" t="s">
        <v>52</v>
      </c>
      <c r="D8" s="17">
        <v>0</v>
      </c>
      <c r="F8" s="17" t="s">
        <v>488</v>
      </c>
      <c r="G8" s="17" t="s">
        <v>85</v>
      </c>
    </row>
    <row r="9" spans="1:7" x14ac:dyDescent="0.3">
      <c r="A9" s="17" t="s">
        <v>108</v>
      </c>
      <c r="B9" s="17" t="str">
        <f t="shared" si="0"/>
        <v>HRSCLM_LTC_DSPNSNG_MTHD_CD</v>
      </c>
      <c r="C9" s="13" t="s">
        <v>56</v>
      </c>
      <c r="D9" s="17">
        <v>0</v>
      </c>
      <c r="F9" s="17" t="s">
        <v>488</v>
      </c>
      <c r="G9" s="17" t="s">
        <v>24</v>
      </c>
    </row>
    <row r="10" spans="1:7" x14ac:dyDescent="0.3">
      <c r="A10" s="17" t="s">
        <v>108</v>
      </c>
      <c r="B10" s="17" t="str">
        <f t="shared" si="0"/>
        <v>HRSBRND_GNRC_CD</v>
      </c>
      <c r="C10" s="13" t="s">
        <v>58</v>
      </c>
      <c r="D10" s="17">
        <v>0</v>
      </c>
      <c r="F10" s="17" t="s">
        <v>488</v>
      </c>
      <c r="G10" s="17" t="s">
        <v>570</v>
      </c>
    </row>
    <row r="11" spans="1:7" x14ac:dyDescent="0.3">
      <c r="A11" s="17" t="s">
        <v>108</v>
      </c>
      <c r="B11" s="17" t="str">
        <f t="shared" si="0"/>
        <v>HRSCOMPUND_CD</v>
      </c>
      <c r="C11" s="13" t="s">
        <v>59</v>
      </c>
      <c r="D11" s="17">
        <v>0</v>
      </c>
      <c r="F11" s="17" t="s">
        <v>488</v>
      </c>
      <c r="G11" s="17" t="s">
        <v>569</v>
      </c>
    </row>
    <row r="12" spans="1:7" x14ac:dyDescent="0.3">
      <c r="A12" s="17" t="s">
        <v>108</v>
      </c>
      <c r="B12" s="17" t="str">
        <f t="shared" si="0"/>
        <v>HRSDAW_CD</v>
      </c>
      <c r="C12" s="13" t="s">
        <v>60</v>
      </c>
      <c r="D12" s="17">
        <v>0</v>
      </c>
    </row>
    <row r="13" spans="1:7" x14ac:dyDescent="0.3">
      <c r="A13" s="17" t="s">
        <v>108</v>
      </c>
      <c r="B13" s="17" t="str">
        <f t="shared" si="0"/>
        <v>HRSDISP_STAT_CD</v>
      </c>
      <c r="C13" s="13" t="s">
        <v>61</v>
      </c>
      <c r="D13" s="17">
        <v>0</v>
      </c>
    </row>
    <row r="14" spans="1:7" x14ac:dyDescent="0.3">
      <c r="A14" s="17" t="s">
        <v>108</v>
      </c>
      <c r="B14" s="17" t="str">
        <f t="shared" si="0"/>
        <v>HRSFILL_NUM</v>
      </c>
      <c r="C14" s="13" t="s">
        <v>62</v>
      </c>
      <c r="D14" s="17">
        <v>0</v>
      </c>
    </row>
    <row r="15" spans="1:7" x14ac:dyDescent="0.3">
      <c r="A15" s="17" t="s">
        <v>108</v>
      </c>
      <c r="B15" s="17" t="str">
        <f t="shared" si="0"/>
        <v>HRSPRESC_ORIGIN</v>
      </c>
      <c r="C15" s="13" t="s">
        <v>65</v>
      </c>
      <c r="D15" s="17">
        <v>0</v>
      </c>
    </row>
    <row r="16" spans="1:7" x14ac:dyDescent="0.3">
      <c r="A16" s="17" t="s">
        <v>108</v>
      </c>
      <c r="B16" s="17" t="str">
        <f t="shared" si="0"/>
        <v>HRSNON_STAND_FMT_CD</v>
      </c>
      <c r="C16" s="13" t="s">
        <v>64</v>
      </c>
      <c r="D16" s="17">
        <v>0</v>
      </c>
    </row>
    <row r="17" spans="1:4" x14ac:dyDescent="0.3">
      <c r="A17" s="17" t="s">
        <v>108</v>
      </c>
      <c r="B17" s="17" t="str">
        <f t="shared" si="0"/>
        <v>HRSPATIENT_PAY_AMT</v>
      </c>
      <c r="C17" s="13" t="s">
        <v>53</v>
      </c>
      <c r="D17" s="17">
        <v>0</v>
      </c>
    </row>
    <row r="18" spans="1:4" x14ac:dyDescent="0.3">
      <c r="A18" s="17" t="s">
        <v>108</v>
      </c>
      <c r="B18" s="17" t="str">
        <f t="shared" si="0"/>
        <v>HRSCOVERAGE_STAT_CD</v>
      </c>
      <c r="C18" s="13" t="s">
        <v>57</v>
      </c>
      <c r="D18" s="17">
        <v>0</v>
      </c>
    </row>
    <row r="19" spans="1:4" x14ac:dyDescent="0.3">
      <c r="A19" s="17" t="s">
        <v>108</v>
      </c>
      <c r="B19" s="17" t="str">
        <f t="shared" si="0"/>
        <v>HRSGAP_DSCNT_AMT</v>
      </c>
      <c r="C19" s="13" t="s">
        <v>73</v>
      </c>
      <c r="D19" s="17">
        <v>0</v>
      </c>
    </row>
    <row r="20" spans="1:4" x14ac:dyDescent="0.3">
      <c r="A20" s="17" t="s">
        <v>108</v>
      </c>
      <c r="B20" s="17" t="str">
        <f t="shared" si="0"/>
        <v>HRSCOVERAGE_CD</v>
      </c>
      <c r="C20" s="13" t="s">
        <v>74</v>
      </c>
      <c r="D20" s="17">
        <v>0</v>
      </c>
    </row>
    <row r="21" spans="1:4" x14ac:dyDescent="0.3">
      <c r="A21" s="17" t="s">
        <v>108</v>
      </c>
      <c r="B21" s="17" t="str">
        <f t="shared" si="0"/>
        <v>HRSBGN_BNFT_PHASE</v>
      </c>
      <c r="C21" s="13" t="s">
        <v>157</v>
      </c>
      <c r="D21" s="17">
        <v>0</v>
      </c>
    </row>
    <row r="22" spans="1:4" x14ac:dyDescent="0.3">
      <c r="A22" s="17" t="s">
        <v>108</v>
      </c>
      <c r="B22" s="17" t="str">
        <f t="shared" si="0"/>
        <v>HRSEND_BNFT_PHASE</v>
      </c>
      <c r="C22" s="13" t="s">
        <v>158</v>
      </c>
      <c r="D22" s="17">
        <v>0</v>
      </c>
    </row>
    <row r="23" spans="1:4" x14ac:dyDescent="0.3">
      <c r="A23" s="17" t="s">
        <v>108</v>
      </c>
      <c r="B23" s="17" t="str">
        <f t="shared" si="0"/>
        <v>HRSPRICE_EXCEPT_CD</v>
      </c>
      <c r="C23" s="13" t="s">
        <v>148</v>
      </c>
      <c r="D23" s="17">
        <v>0</v>
      </c>
    </row>
    <row r="24" spans="1:4" x14ac:dyDescent="0.3">
      <c r="A24" s="17" t="s">
        <v>108</v>
      </c>
      <c r="B24" s="17" t="str">
        <f t="shared" si="0"/>
        <v>HRSABOVE_OOP_THRHLD</v>
      </c>
      <c r="C24" s="13" t="s">
        <v>67</v>
      </c>
      <c r="D24" s="17">
        <v>0</v>
      </c>
    </row>
    <row r="25" spans="1:4" x14ac:dyDescent="0.3">
      <c r="A25" s="17" t="s">
        <v>108</v>
      </c>
      <c r="B25" s="17" t="str">
        <f t="shared" si="0"/>
        <v>HRSBELOW_OOP_THRHLD</v>
      </c>
      <c r="C25" s="13" t="s">
        <v>66</v>
      </c>
      <c r="D25" s="17">
        <v>0</v>
      </c>
    </row>
    <row r="26" spans="1:4" x14ac:dyDescent="0.3">
      <c r="A26" s="17" t="s">
        <v>108</v>
      </c>
      <c r="B26" s="17" t="str">
        <f t="shared" si="0"/>
        <v>HRSLICS_AMT</v>
      </c>
      <c r="C26" s="13" t="s">
        <v>69</v>
      </c>
      <c r="D26" s="17">
        <v>0</v>
      </c>
    </row>
    <row r="27" spans="1:4" x14ac:dyDescent="0.3">
      <c r="A27" s="17" t="s">
        <v>108</v>
      </c>
      <c r="B27" s="17" t="str">
        <f t="shared" si="0"/>
        <v>HRSCVRD_D_PLAN_PAID</v>
      </c>
      <c r="C27" s="13" t="s">
        <v>151</v>
      </c>
      <c r="D27" s="17">
        <v>0</v>
      </c>
    </row>
    <row r="28" spans="1:4" x14ac:dyDescent="0.3">
      <c r="A28" s="17" t="s">
        <v>108</v>
      </c>
      <c r="B28" s="17" t="str">
        <f t="shared" si="0"/>
        <v>HRSNON_CVRD_PLAN_PAID</v>
      </c>
      <c r="C28" s="13" t="s">
        <v>72</v>
      </c>
      <c r="D28" s="17">
        <v>0</v>
      </c>
    </row>
    <row r="29" spans="1:4" x14ac:dyDescent="0.3">
      <c r="A29" s="17" t="s">
        <v>108</v>
      </c>
      <c r="B29" s="17" t="str">
        <f t="shared" si="0"/>
        <v>HRSADJ_DEL_CD</v>
      </c>
      <c r="C29" s="13" t="s">
        <v>63</v>
      </c>
      <c r="D29" s="17">
        <v>0</v>
      </c>
    </row>
    <row r="30" spans="1:4" x14ac:dyDescent="0.3">
      <c r="A30" s="17" t="s">
        <v>108</v>
      </c>
      <c r="B30" s="17" t="str">
        <f t="shared" si="0"/>
        <v>HRSOTHER_TROOP_AMT</v>
      </c>
      <c r="C30" s="13" t="s">
        <v>68</v>
      </c>
      <c r="D30" s="17">
        <v>0</v>
      </c>
    </row>
    <row r="31" spans="1:4" x14ac:dyDescent="0.3">
      <c r="A31" s="17" t="s">
        <v>108</v>
      </c>
      <c r="B31" s="17" t="str">
        <f t="shared" si="0"/>
        <v>HRSPLRO_AMT</v>
      </c>
      <c r="C31" s="13" t="s">
        <v>70</v>
      </c>
      <c r="D31" s="17">
        <v>0</v>
      </c>
    </row>
    <row r="32" spans="1:4" x14ac:dyDescent="0.3">
      <c r="A32" s="17" t="s">
        <v>108</v>
      </c>
      <c r="B32" s="17" t="str">
        <f t="shared" si="0"/>
        <v>HRSTOTAL_CST</v>
      </c>
      <c r="C32" s="13" t="s">
        <v>54</v>
      </c>
      <c r="D32" s="17">
        <v>0</v>
      </c>
    </row>
    <row r="33" spans="1:4" x14ac:dyDescent="0.3">
      <c r="A33" s="17" t="s">
        <v>108</v>
      </c>
      <c r="B33" s="17" t="str">
        <f t="shared" si="0"/>
        <v>HRSSRVC_PROVIDER_ID</v>
      </c>
      <c r="C33" s="13" t="s">
        <v>75</v>
      </c>
      <c r="D33" s="17" t="s">
        <v>27</v>
      </c>
    </row>
    <row r="34" spans="1:4" x14ac:dyDescent="0.3">
      <c r="A34" s="17" t="s">
        <v>108</v>
      </c>
      <c r="B34" s="17" t="str">
        <f t="shared" si="0"/>
        <v>HRSSRVC_PROVIDER_ID_QUAL</v>
      </c>
      <c r="C34" s="13" t="s">
        <v>76</v>
      </c>
      <c r="D34" s="17" t="s">
        <v>27</v>
      </c>
    </row>
    <row r="35" spans="1:4" x14ac:dyDescent="0.3">
      <c r="A35" s="17" t="s">
        <v>108</v>
      </c>
      <c r="B35" s="17" t="str">
        <f t="shared" si="0"/>
        <v>HRSCLM_PHRMCY_SRVC_TYPE_CD</v>
      </c>
      <c r="C35" s="13" t="s">
        <v>92</v>
      </c>
      <c r="D35" s="17">
        <v>0</v>
      </c>
    </row>
    <row r="36" spans="1:4" x14ac:dyDescent="0.3">
      <c r="A36" s="17" t="s">
        <v>108</v>
      </c>
      <c r="B36" s="17" t="str">
        <f t="shared" si="0"/>
        <v>HRSCONTRACT_NUM</v>
      </c>
      <c r="C36" s="13" t="s">
        <v>79</v>
      </c>
      <c r="D36" s="17">
        <v>0</v>
      </c>
    </row>
    <row r="37" spans="1:4" x14ac:dyDescent="0.3">
      <c r="A37" s="17" t="s">
        <v>108</v>
      </c>
      <c r="B37" s="17" t="str">
        <f t="shared" si="0"/>
        <v>HRSPBP_ID</v>
      </c>
      <c r="C37" s="13" t="s">
        <v>80</v>
      </c>
      <c r="D37" s="17">
        <v>0</v>
      </c>
    </row>
    <row r="38" spans="1:4" x14ac:dyDescent="0.3">
      <c r="A38" s="17" t="s">
        <v>108</v>
      </c>
      <c r="B38" s="17" t="str">
        <f t="shared" si="0"/>
        <v>HRSPRESCRIBER_ID</v>
      </c>
      <c r="C38" s="13" t="s">
        <v>77</v>
      </c>
      <c r="D38" s="17">
        <v>0</v>
      </c>
    </row>
    <row r="39" spans="1:4" x14ac:dyDescent="0.3">
      <c r="A39" s="17" t="s">
        <v>108</v>
      </c>
      <c r="B39" s="17" t="str">
        <f t="shared" si="0"/>
        <v>HRSPRESCRIBER_ID_QUAL</v>
      </c>
      <c r="C39" s="13" t="s">
        <v>78</v>
      </c>
      <c r="D39" s="17">
        <v>0</v>
      </c>
    </row>
    <row r="40" spans="1:4" x14ac:dyDescent="0.3">
      <c r="A40" s="17" t="s">
        <v>112</v>
      </c>
      <c r="B40" s="17" t="str">
        <f t="shared" si="0"/>
        <v>WLSCLM_PTNT_RSDNC_CD</v>
      </c>
      <c r="C40" s="17" t="s">
        <v>55</v>
      </c>
      <c r="D40" s="17">
        <v>0</v>
      </c>
    </row>
    <row r="41" spans="1:4" x14ac:dyDescent="0.3">
      <c r="A41" s="17" t="s">
        <v>112</v>
      </c>
      <c r="B41" s="17" t="str">
        <f t="shared" si="0"/>
        <v>WLSRX_DOS_DT</v>
      </c>
      <c r="C41" s="17" t="s">
        <v>51</v>
      </c>
      <c r="D41" s="17">
        <v>0</v>
      </c>
    </row>
    <row r="42" spans="1:4" x14ac:dyDescent="0.3">
      <c r="A42" s="17" t="s">
        <v>112</v>
      </c>
      <c r="B42" s="17" t="str">
        <f t="shared" si="0"/>
        <v>WLSQUANTITY_DISPENSED</v>
      </c>
      <c r="C42" s="17" t="s">
        <v>144</v>
      </c>
      <c r="D42" s="17">
        <v>0</v>
      </c>
    </row>
    <row r="43" spans="1:4" x14ac:dyDescent="0.3">
      <c r="A43" s="17" t="s">
        <v>112</v>
      </c>
      <c r="B43" s="17" t="str">
        <f t="shared" si="0"/>
        <v>WLSPROD_SERVICE_ID</v>
      </c>
      <c r="C43" s="17" t="s">
        <v>146</v>
      </c>
      <c r="D43" s="17">
        <v>0</v>
      </c>
    </row>
    <row r="44" spans="1:4" x14ac:dyDescent="0.3">
      <c r="A44" s="17" t="s">
        <v>112</v>
      </c>
      <c r="B44" s="17" t="str">
        <f t="shared" si="0"/>
        <v>WLSDAYS_SUPPLY</v>
      </c>
      <c r="C44" s="17" t="s">
        <v>52</v>
      </c>
      <c r="D44" s="17">
        <v>0</v>
      </c>
    </row>
    <row r="45" spans="1:4" x14ac:dyDescent="0.3">
      <c r="A45" s="17" t="s">
        <v>112</v>
      </c>
      <c r="B45" s="17" t="str">
        <f t="shared" si="0"/>
        <v>WLSCLM_LTC_DSPNSNG_MTHD_CD</v>
      </c>
      <c r="C45" s="17" t="s">
        <v>56</v>
      </c>
      <c r="D45" s="17">
        <v>0</v>
      </c>
    </row>
    <row r="46" spans="1:4" x14ac:dyDescent="0.3">
      <c r="A46" s="17" t="s">
        <v>112</v>
      </c>
      <c r="B46" s="17" t="str">
        <f t="shared" si="0"/>
        <v>WLSBRND_GNRC_CD</v>
      </c>
      <c r="C46" s="17" t="s">
        <v>58</v>
      </c>
      <c r="D46" s="17">
        <v>0</v>
      </c>
    </row>
    <row r="47" spans="1:4" x14ac:dyDescent="0.3">
      <c r="A47" s="17" t="s">
        <v>112</v>
      </c>
      <c r="B47" s="17" t="str">
        <f t="shared" si="0"/>
        <v>WLSCOMPUND_CD</v>
      </c>
      <c r="C47" s="17" t="s">
        <v>59</v>
      </c>
      <c r="D47" s="17">
        <v>0</v>
      </c>
    </row>
    <row r="48" spans="1:4" x14ac:dyDescent="0.3">
      <c r="A48" s="17" t="s">
        <v>112</v>
      </c>
      <c r="B48" s="17" t="str">
        <f t="shared" si="0"/>
        <v>WLSDAW_CD</v>
      </c>
      <c r="C48" s="17" t="s">
        <v>60</v>
      </c>
      <c r="D48" s="17">
        <v>0</v>
      </c>
    </row>
    <row r="49" spans="1:4" x14ac:dyDescent="0.3">
      <c r="A49" s="17" t="s">
        <v>112</v>
      </c>
      <c r="B49" s="17" t="str">
        <f t="shared" si="0"/>
        <v>WLSDISP_STAT_CD</v>
      </c>
      <c r="C49" s="17" t="s">
        <v>61</v>
      </c>
      <c r="D49" s="17">
        <v>0</v>
      </c>
    </row>
    <row r="50" spans="1:4" x14ac:dyDescent="0.3">
      <c r="A50" s="17" t="s">
        <v>112</v>
      </c>
      <c r="B50" s="17" t="str">
        <f t="shared" si="0"/>
        <v>WLSFILL_NUM</v>
      </c>
      <c r="C50" s="17" t="s">
        <v>62</v>
      </c>
      <c r="D50" s="17">
        <v>0</v>
      </c>
    </row>
    <row r="51" spans="1:4" x14ac:dyDescent="0.3">
      <c r="A51" s="17" t="s">
        <v>112</v>
      </c>
      <c r="B51" s="17" t="str">
        <f t="shared" si="0"/>
        <v>WLSPRESC_ORIGIN</v>
      </c>
      <c r="C51" s="17" t="s">
        <v>65</v>
      </c>
      <c r="D51" s="17">
        <v>0</v>
      </c>
    </row>
    <row r="52" spans="1:4" x14ac:dyDescent="0.3">
      <c r="A52" s="17" t="s">
        <v>112</v>
      </c>
      <c r="B52" s="17" t="str">
        <f t="shared" si="0"/>
        <v>WLSNON_STAND_FMT_CD</v>
      </c>
      <c r="C52" s="17" t="s">
        <v>64</v>
      </c>
      <c r="D52" s="17">
        <v>0</v>
      </c>
    </row>
    <row r="53" spans="1:4" x14ac:dyDescent="0.3">
      <c r="A53" s="17" t="s">
        <v>112</v>
      </c>
      <c r="B53" s="17" t="str">
        <f t="shared" si="0"/>
        <v>WLSPATIENT_PAY_AMT</v>
      </c>
      <c r="C53" s="17" t="s">
        <v>53</v>
      </c>
      <c r="D53" s="17">
        <v>0</v>
      </c>
    </row>
    <row r="54" spans="1:4" x14ac:dyDescent="0.3">
      <c r="A54" s="17" t="s">
        <v>112</v>
      </c>
      <c r="B54" s="17" t="str">
        <f t="shared" si="0"/>
        <v>WLSCOVERAGE_STAT_CD</v>
      </c>
      <c r="C54" s="17" t="s">
        <v>57</v>
      </c>
      <c r="D54" s="17">
        <v>0</v>
      </c>
    </row>
    <row r="55" spans="1:4" x14ac:dyDescent="0.3">
      <c r="A55" s="17" t="s">
        <v>112</v>
      </c>
      <c r="B55" s="17" t="str">
        <f t="shared" si="0"/>
        <v>WLSGAP_DSCNT_AMT</v>
      </c>
      <c r="C55" s="17" t="s">
        <v>73</v>
      </c>
      <c r="D55" s="17">
        <v>0</v>
      </c>
    </row>
    <row r="56" spans="1:4" x14ac:dyDescent="0.3">
      <c r="A56" s="17" t="s">
        <v>112</v>
      </c>
      <c r="B56" s="17" t="str">
        <f t="shared" si="0"/>
        <v>WLSCOVERAGE_CD</v>
      </c>
      <c r="C56" s="17" t="s">
        <v>74</v>
      </c>
      <c r="D56" s="17">
        <v>0</v>
      </c>
    </row>
    <row r="57" spans="1:4" x14ac:dyDescent="0.3">
      <c r="A57" s="17" t="s">
        <v>112</v>
      </c>
      <c r="B57" s="17" t="str">
        <f t="shared" si="0"/>
        <v>WLSBGN_BNFT_PHASE</v>
      </c>
      <c r="C57" s="17" t="s">
        <v>157</v>
      </c>
      <c r="D57" s="17">
        <v>0</v>
      </c>
    </row>
    <row r="58" spans="1:4" x14ac:dyDescent="0.3">
      <c r="A58" s="17" t="s">
        <v>112</v>
      </c>
      <c r="B58" s="17" t="str">
        <f t="shared" si="0"/>
        <v>WLSEND_BNFT_PHASE</v>
      </c>
      <c r="C58" s="17" t="s">
        <v>158</v>
      </c>
      <c r="D58" s="17">
        <v>0</v>
      </c>
    </row>
    <row r="59" spans="1:4" x14ac:dyDescent="0.3">
      <c r="A59" s="17" t="s">
        <v>112</v>
      </c>
      <c r="B59" s="17" t="str">
        <f t="shared" si="0"/>
        <v>WLSPRICE_EXCEPT_CD</v>
      </c>
      <c r="C59" s="17" t="s">
        <v>148</v>
      </c>
      <c r="D59" s="17">
        <v>0</v>
      </c>
    </row>
    <row r="60" spans="1:4" x14ac:dyDescent="0.3">
      <c r="A60" s="17" t="s">
        <v>112</v>
      </c>
      <c r="B60" s="17" t="str">
        <f t="shared" si="0"/>
        <v>WLSABOVE_OOP_THRHLD</v>
      </c>
      <c r="C60" s="17" t="s">
        <v>67</v>
      </c>
      <c r="D60" s="17">
        <v>0</v>
      </c>
    </row>
    <row r="61" spans="1:4" x14ac:dyDescent="0.3">
      <c r="A61" s="17" t="s">
        <v>112</v>
      </c>
      <c r="B61" s="17" t="str">
        <f t="shared" si="0"/>
        <v>WLSBELOW_OOP_THRHLD</v>
      </c>
      <c r="C61" s="17" t="s">
        <v>66</v>
      </c>
      <c r="D61" s="17">
        <v>0</v>
      </c>
    </row>
    <row r="62" spans="1:4" x14ac:dyDescent="0.3">
      <c r="A62" s="17" t="s">
        <v>112</v>
      </c>
      <c r="B62" s="17" t="str">
        <f t="shared" si="0"/>
        <v>WLSLICS_AMT</v>
      </c>
      <c r="C62" s="17" t="s">
        <v>69</v>
      </c>
      <c r="D62" s="17">
        <v>0</v>
      </c>
    </row>
    <row r="63" spans="1:4" x14ac:dyDescent="0.3">
      <c r="A63" s="17" t="s">
        <v>112</v>
      </c>
      <c r="B63" s="17" t="str">
        <f t="shared" si="0"/>
        <v>WLSCVRD_D_PLAN_PAID</v>
      </c>
      <c r="C63" s="17" t="s">
        <v>151</v>
      </c>
      <c r="D63" s="17">
        <v>0</v>
      </c>
    </row>
    <row r="64" spans="1:4" x14ac:dyDescent="0.3">
      <c r="A64" s="17" t="s">
        <v>112</v>
      </c>
      <c r="B64" s="17" t="str">
        <f t="shared" si="0"/>
        <v>WLSNON_CVRD_PLAN_PAID</v>
      </c>
      <c r="C64" s="17" t="s">
        <v>72</v>
      </c>
      <c r="D64" s="17">
        <v>0</v>
      </c>
    </row>
    <row r="65" spans="1:4" x14ac:dyDescent="0.3">
      <c r="A65" s="17" t="s">
        <v>112</v>
      </c>
      <c r="B65" s="17" t="str">
        <f t="shared" si="0"/>
        <v>WLSADJ_DEL_CD</v>
      </c>
      <c r="C65" s="17" t="s">
        <v>63</v>
      </c>
      <c r="D65" s="17">
        <v>0</v>
      </c>
    </row>
    <row r="66" spans="1:4" x14ac:dyDescent="0.3">
      <c r="A66" s="17" t="s">
        <v>112</v>
      </c>
      <c r="B66" s="17" t="str">
        <f t="shared" si="0"/>
        <v>WLSOTHER_TROOP_AMT</v>
      </c>
      <c r="C66" s="17" t="s">
        <v>68</v>
      </c>
      <c r="D66" s="17">
        <v>0</v>
      </c>
    </row>
    <row r="67" spans="1:4" x14ac:dyDescent="0.3">
      <c r="A67" s="17" t="s">
        <v>112</v>
      </c>
      <c r="B67" s="17" t="str">
        <f t="shared" si="0"/>
        <v>WLSPLRO_AMT</v>
      </c>
      <c r="C67" s="17" t="s">
        <v>70</v>
      </c>
      <c r="D67" s="17">
        <v>0</v>
      </c>
    </row>
    <row r="68" spans="1:4" x14ac:dyDescent="0.3">
      <c r="A68" s="17" t="s">
        <v>112</v>
      </c>
      <c r="B68" s="17" t="str">
        <f t="shared" ref="B68:B131" si="1">CONCATENATE(A68,C68)</f>
        <v>WLSTOTAL_CST</v>
      </c>
      <c r="C68" s="17" t="s">
        <v>54</v>
      </c>
      <c r="D68" s="17">
        <v>0</v>
      </c>
    </row>
    <row r="69" spans="1:4" x14ac:dyDescent="0.3">
      <c r="A69" s="17" t="s">
        <v>112</v>
      </c>
      <c r="B69" s="17" t="str">
        <f t="shared" si="1"/>
        <v>WLSSRVC_PROVIDER_ID</v>
      </c>
      <c r="C69" s="17" t="s">
        <v>75</v>
      </c>
      <c r="D69" s="17">
        <v>0</v>
      </c>
    </row>
    <row r="70" spans="1:4" x14ac:dyDescent="0.3">
      <c r="A70" s="17" t="s">
        <v>112</v>
      </c>
      <c r="B70" s="17" t="str">
        <f t="shared" si="1"/>
        <v>WLSSRVC_PROVIDER_ID_QUAL</v>
      </c>
      <c r="C70" s="17" t="s">
        <v>76</v>
      </c>
      <c r="D70" s="17">
        <v>0</v>
      </c>
    </row>
    <row r="71" spans="1:4" x14ac:dyDescent="0.3">
      <c r="A71" s="17" t="s">
        <v>112</v>
      </c>
      <c r="B71" s="17" t="str">
        <f t="shared" si="1"/>
        <v>WLSCLM_PHRMCY_SRVC_TYPE_CD</v>
      </c>
      <c r="C71" s="17" t="s">
        <v>92</v>
      </c>
      <c r="D71" s="17">
        <v>0</v>
      </c>
    </row>
    <row r="72" spans="1:4" x14ac:dyDescent="0.3">
      <c r="A72" s="17" t="s">
        <v>112</v>
      </c>
      <c r="B72" s="17" t="str">
        <f t="shared" si="1"/>
        <v>WLSCONTRACT_NUM</v>
      </c>
      <c r="C72" s="17" t="s">
        <v>79</v>
      </c>
      <c r="D72" s="17">
        <v>0</v>
      </c>
    </row>
    <row r="73" spans="1:4" x14ac:dyDescent="0.3">
      <c r="A73" s="17" t="s">
        <v>112</v>
      </c>
      <c r="B73" s="17" t="str">
        <f t="shared" si="1"/>
        <v>WLSPBP_ID</v>
      </c>
      <c r="C73" s="17" t="s">
        <v>80</v>
      </c>
      <c r="D73" s="17">
        <v>0</v>
      </c>
    </row>
    <row r="74" spans="1:4" x14ac:dyDescent="0.3">
      <c r="A74" s="17" t="s">
        <v>112</v>
      </c>
      <c r="B74" s="17" t="str">
        <f t="shared" si="1"/>
        <v>WLSPRESCRIBER_ID</v>
      </c>
      <c r="C74" s="17" t="s">
        <v>77</v>
      </c>
      <c r="D74" s="17">
        <v>0</v>
      </c>
    </row>
    <row r="75" spans="1:4" x14ac:dyDescent="0.3">
      <c r="A75" s="17" t="s">
        <v>112</v>
      </c>
      <c r="B75" s="17" t="str">
        <f t="shared" si="1"/>
        <v>WLSPRESCRIBER_ID_QUAL</v>
      </c>
      <c r="C75" s="17" t="s">
        <v>78</v>
      </c>
      <c r="D75" s="17">
        <v>0</v>
      </c>
    </row>
    <row r="76" spans="1:4" x14ac:dyDescent="0.3">
      <c r="A76" s="17" t="s">
        <v>218</v>
      </c>
      <c r="B76" s="17" t="str">
        <f t="shared" si="1"/>
        <v>MIDUSCLM_PTNT_RSDNC_CD</v>
      </c>
      <c r="C76" s="17" t="s">
        <v>55</v>
      </c>
      <c r="D76" s="17" t="s">
        <v>27</v>
      </c>
    </row>
    <row r="77" spans="1:4" x14ac:dyDescent="0.3">
      <c r="A77" s="17" t="s">
        <v>218</v>
      </c>
      <c r="B77" s="17" t="str">
        <f t="shared" si="1"/>
        <v>MIDUSRX_DOS_DT</v>
      </c>
      <c r="C77" s="17" t="s">
        <v>51</v>
      </c>
      <c r="D77" s="17">
        <v>0</v>
      </c>
    </row>
    <row r="78" spans="1:4" x14ac:dyDescent="0.3">
      <c r="A78" s="17" t="s">
        <v>218</v>
      </c>
      <c r="B78" s="17" t="str">
        <f t="shared" si="1"/>
        <v>MIDUSQUANTITY_DISPENSED</v>
      </c>
      <c r="C78" s="17" t="s">
        <v>144</v>
      </c>
      <c r="D78" s="17">
        <v>0</v>
      </c>
    </row>
    <row r="79" spans="1:4" x14ac:dyDescent="0.3">
      <c r="A79" s="17" t="s">
        <v>218</v>
      </c>
      <c r="B79" s="17" t="str">
        <f t="shared" si="1"/>
        <v>MIDUSPROD_SERVICE_ID</v>
      </c>
      <c r="C79" s="17" t="s">
        <v>146</v>
      </c>
      <c r="D79" s="17">
        <v>0</v>
      </c>
    </row>
    <row r="80" spans="1:4" x14ac:dyDescent="0.3">
      <c r="A80" s="17" t="s">
        <v>218</v>
      </c>
      <c r="B80" s="17" t="str">
        <f t="shared" si="1"/>
        <v>MIDUSDAYS_SUPPLY</v>
      </c>
      <c r="C80" s="17" t="s">
        <v>52</v>
      </c>
      <c r="D80" s="17">
        <v>0</v>
      </c>
    </row>
    <row r="81" spans="1:4" x14ac:dyDescent="0.3">
      <c r="A81" s="17" t="s">
        <v>218</v>
      </c>
      <c r="B81" s="17" t="str">
        <f t="shared" si="1"/>
        <v>MIDUSCLM_LTC_DSPNSNG_MTHD_CD</v>
      </c>
      <c r="C81" s="17" t="s">
        <v>56</v>
      </c>
      <c r="D81" s="17">
        <v>0</v>
      </c>
    </row>
    <row r="82" spans="1:4" x14ac:dyDescent="0.3">
      <c r="A82" s="17" t="s">
        <v>218</v>
      </c>
      <c r="B82" s="17" t="str">
        <f t="shared" si="1"/>
        <v>MIDUSBRND_GNRC_CD</v>
      </c>
      <c r="C82" s="17" t="s">
        <v>58</v>
      </c>
      <c r="D82" s="17">
        <v>0</v>
      </c>
    </row>
    <row r="83" spans="1:4" x14ac:dyDescent="0.3">
      <c r="A83" s="17" t="s">
        <v>218</v>
      </c>
      <c r="B83" s="17" t="str">
        <f t="shared" si="1"/>
        <v>MIDUSCOMPUND_CD</v>
      </c>
      <c r="C83" s="17" t="s">
        <v>59</v>
      </c>
      <c r="D83" s="17">
        <v>0</v>
      </c>
    </row>
    <row r="84" spans="1:4" x14ac:dyDescent="0.3">
      <c r="A84" s="17" t="s">
        <v>218</v>
      </c>
      <c r="B84" s="17" t="str">
        <f t="shared" si="1"/>
        <v>MIDUSDAW_CD</v>
      </c>
      <c r="C84" s="17" t="s">
        <v>60</v>
      </c>
      <c r="D84" s="17">
        <v>0</v>
      </c>
    </row>
    <row r="85" spans="1:4" x14ac:dyDescent="0.3">
      <c r="A85" s="17" t="s">
        <v>218</v>
      </c>
      <c r="B85" s="17" t="str">
        <f t="shared" si="1"/>
        <v>MIDUSDISP_STAT_CD</v>
      </c>
      <c r="C85" s="17" t="s">
        <v>61</v>
      </c>
      <c r="D85" s="17">
        <v>0</v>
      </c>
    </row>
    <row r="86" spans="1:4" x14ac:dyDescent="0.3">
      <c r="A86" s="17" t="s">
        <v>218</v>
      </c>
      <c r="B86" s="17" t="str">
        <f t="shared" si="1"/>
        <v>MIDUSFILL_NUM</v>
      </c>
      <c r="C86" s="17" t="s">
        <v>62</v>
      </c>
      <c r="D86" s="17">
        <v>0</v>
      </c>
    </row>
    <row r="87" spans="1:4" x14ac:dyDescent="0.3">
      <c r="A87" s="17" t="s">
        <v>218</v>
      </c>
      <c r="B87" s="17" t="str">
        <f t="shared" si="1"/>
        <v>MIDUSPRESC_ORIGIN</v>
      </c>
      <c r="C87" s="17" t="s">
        <v>65</v>
      </c>
      <c r="D87" s="17">
        <v>0</v>
      </c>
    </row>
    <row r="88" spans="1:4" x14ac:dyDescent="0.3">
      <c r="A88" s="17" t="s">
        <v>218</v>
      </c>
      <c r="B88" s="17" t="str">
        <f t="shared" si="1"/>
        <v>MIDUSNON_STAND_FMT_CD</v>
      </c>
      <c r="C88" s="17" t="s">
        <v>64</v>
      </c>
      <c r="D88" s="17">
        <v>0</v>
      </c>
    </row>
    <row r="89" spans="1:4" x14ac:dyDescent="0.3">
      <c r="A89" s="17" t="s">
        <v>218</v>
      </c>
      <c r="B89" s="17" t="str">
        <f t="shared" si="1"/>
        <v>MIDUSPATIENT_PAY_AMT</v>
      </c>
      <c r="C89" s="17" t="s">
        <v>53</v>
      </c>
      <c r="D89" s="17">
        <v>0</v>
      </c>
    </row>
    <row r="90" spans="1:4" x14ac:dyDescent="0.3">
      <c r="A90" s="17" t="s">
        <v>218</v>
      </c>
      <c r="B90" s="17" t="str">
        <f t="shared" si="1"/>
        <v>MIDUSCOVERAGE_STAT_CD</v>
      </c>
      <c r="C90" s="17" t="s">
        <v>57</v>
      </c>
      <c r="D90" s="17">
        <v>0</v>
      </c>
    </row>
    <row r="91" spans="1:4" x14ac:dyDescent="0.3">
      <c r="A91" s="17" t="s">
        <v>218</v>
      </c>
      <c r="B91" s="17" t="str">
        <f t="shared" si="1"/>
        <v>MIDUSGAP_DSCNT_AMT</v>
      </c>
      <c r="C91" s="17" t="s">
        <v>73</v>
      </c>
      <c r="D91" s="17">
        <v>0</v>
      </c>
    </row>
    <row r="92" spans="1:4" x14ac:dyDescent="0.3">
      <c r="A92" s="17" t="s">
        <v>218</v>
      </c>
      <c r="B92" s="17" t="str">
        <f t="shared" si="1"/>
        <v>MIDUSCOVERAGE_CD</v>
      </c>
      <c r="C92" s="17" t="s">
        <v>74</v>
      </c>
      <c r="D92" s="17">
        <v>0</v>
      </c>
    </row>
    <row r="93" spans="1:4" x14ac:dyDescent="0.3">
      <c r="A93" s="17" t="s">
        <v>218</v>
      </c>
      <c r="B93" s="17" t="str">
        <f t="shared" si="1"/>
        <v>MIDUSBGN_BNFT_PHASE</v>
      </c>
      <c r="C93" s="17" t="s">
        <v>157</v>
      </c>
      <c r="D93" s="17">
        <v>0</v>
      </c>
    </row>
    <row r="94" spans="1:4" x14ac:dyDescent="0.3">
      <c r="A94" s="17" t="s">
        <v>218</v>
      </c>
      <c r="B94" s="17" t="str">
        <f t="shared" si="1"/>
        <v>MIDUSEND_BNFT_PHASE</v>
      </c>
      <c r="C94" s="17" t="s">
        <v>158</v>
      </c>
      <c r="D94" s="17">
        <v>0</v>
      </c>
    </row>
    <row r="95" spans="1:4" x14ac:dyDescent="0.3">
      <c r="A95" s="17" t="s">
        <v>218</v>
      </c>
      <c r="B95" s="17" t="str">
        <f t="shared" si="1"/>
        <v>MIDUSPRICE_EXCEPT_CD</v>
      </c>
      <c r="C95" s="17" t="s">
        <v>148</v>
      </c>
      <c r="D95" s="17">
        <v>0</v>
      </c>
    </row>
    <row r="96" spans="1:4" x14ac:dyDescent="0.3">
      <c r="A96" s="17" t="s">
        <v>218</v>
      </c>
      <c r="B96" s="17" t="str">
        <f t="shared" si="1"/>
        <v>MIDUSABOVE_OOP_THRHLD</v>
      </c>
      <c r="C96" s="17" t="s">
        <v>67</v>
      </c>
      <c r="D96" s="17">
        <v>0</v>
      </c>
    </row>
    <row r="97" spans="1:4" x14ac:dyDescent="0.3">
      <c r="A97" s="17" t="s">
        <v>218</v>
      </c>
      <c r="B97" s="17" t="str">
        <f t="shared" si="1"/>
        <v>MIDUSBELOW_OOP_THRHLD</v>
      </c>
      <c r="C97" s="17" t="s">
        <v>66</v>
      </c>
      <c r="D97" s="17">
        <v>0</v>
      </c>
    </row>
    <row r="98" spans="1:4" x14ac:dyDescent="0.3">
      <c r="A98" s="17" t="s">
        <v>218</v>
      </c>
      <c r="B98" s="17" t="str">
        <f t="shared" si="1"/>
        <v>MIDUSLICS_AMT</v>
      </c>
      <c r="C98" s="17" t="s">
        <v>69</v>
      </c>
      <c r="D98" s="17">
        <v>0</v>
      </c>
    </row>
    <row r="99" spans="1:4" x14ac:dyDescent="0.3">
      <c r="A99" s="17" t="s">
        <v>218</v>
      </c>
      <c r="B99" s="17" t="str">
        <f t="shared" si="1"/>
        <v>MIDUSCVRD_D_PLAN_PAID</v>
      </c>
      <c r="C99" s="17" t="s">
        <v>151</v>
      </c>
      <c r="D99" s="17">
        <v>0</v>
      </c>
    </row>
    <row r="100" spans="1:4" x14ac:dyDescent="0.3">
      <c r="A100" s="17" t="s">
        <v>218</v>
      </c>
      <c r="B100" s="17" t="str">
        <f t="shared" si="1"/>
        <v>MIDUSNON_CVRD_PLAN_PAID</v>
      </c>
      <c r="C100" s="17" t="s">
        <v>72</v>
      </c>
      <c r="D100" s="17">
        <v>0</v>
      </c>
    </row>
    <row r="101" spans="1:4" x14ac:dyDescent="0.3">
      <c r="A101" s="17" t="s">
        <v>218</v>
      </c>
      <c r="B101" s="17" t="str">
        <f t="shared" si="1"/>
        <v>MIDUSADJ_DEL_CD</v>
      </c>
      <c r="C101" s="17" t="s">
        <v>63</v>
      </c>
      <c r="D101" s="17">
        <v>0</v>
      </c>
    </row>
    <row r="102" spans="1:4" x14ac:dyDescent="0.3">
      <c r="A102" s="17" t="s">
        <v>218</v>
      </c>
      <c r="B102" s="17" t="str">
        <f t="shared" si="1"/>
        <v>MIDUSOTHER_TROOP_AMT</v>
      </c>
      <c r="C102" s="17" t="s">
        <v>68</v>
      </c>
      <c r="D102" s="17">
        <v>0</v>
      </c>
    </row>
    <row r="103" spans="1:4" x14ac:dyDescent="0.3">
      <c r="A103" s="17" t="s">
        <v>218</v>
      </c>
      <c r="B103" s="17" t="str">
        <f t="shared" si="1"/>
        <v>MIDUSPLRO_AMT</v>
      </c>
      <c r="C103" s="17" t="s">
        <v>70</v>
      </c>
      <c r="D103" s="17">
        <v>0</v>
      </c>
    </row>
    <row r="104" spans="1:4" x14ac:dyDescent="0.3">
      <c r="A104" s="17" t="s">
        <v>218</v>
      </c>
      <c r="B104" s="17" t="str">
        <f t="shared" si="1"/>
        <v>MIDUSTOTAL_CST</v>
      </c>
      <c r="C104" s="17" t="s">
        <v>54</v>
      </c>
      <c r="D104" s="17">
        <v>0</v>
      </c>
    </row>
    <row r="105" spans="1:4" x14ac:dyDescent="0.3">
      <c r="A105" s="17" t="s">
        <v>218</v>
      </c>
      <c r="B105" s="17" t="str">
        <f t="shared" si="1"/>
        <v>MIDUSSRVC_PROVIDER_ID</v>
      </c>
      <c r="C105" s="17" t="s">
        <v>75</v>
      </c>
      <c r="D105" s="17" t="s">
        <v>27</v>
      </c>
    </row>
    <row r="106" spans="1:4" x14ac:dyDescent="0.3">
      <c r="A106" s="17" t="s">
        <v>218</v>
      </c>
      <c r="B106" s="17" t="str">
        <f t="shared" si="1"/>
        <v>MIDUSSRVC_PROVIDER_ID_QUAL</v>
      </c>
      <c r="C106" s="17" t="s">
        <v>76</v>
      </c>
      <c r="D106" s="17" t="s">
        <v>27</v>
      </c>
    </row>
    <row r="107" spans="1:4" x14ac:dyDescent="0.3">
      <c r="A107" s="17" t="s">
        <v>218</v>
      </c>
      <c r="B107" s="17" t="str">
        <f t="shared" si="1"/>
        <v>MIDUSCLM_PHRMCY_SRVC_TYPE_CD</v>
      </c>
      <c r="C107" s="17" t="s">
        <v>92</v>
      </c>
      <c r="D107" s="17" t="s">
        <v>27</v>
      </c>
    </row>
    <row r="108" spans="1:4" x14ac:dyDescent="0.3">
      <c r="A108" s="17" t="s">
        <v>218</v>
      </c>
      <c r="B108" s="17" t="str">
        <f t="shared" si="1"/>
        <v>MIDUSCONTRACT_NUM</v>
      </c>
      <c r="C108" s="17" t="s">
        <v>79</v>
      </c>
      <c r="D108" s="17" t="s">
        <v>27</v>
      </c>
    </row>
    <row r="109" spans="1:4" x14ac:dyDescent="0.3">
      <c r="A109" s="17" t="s">
        <v>218</v>
      </c>
      <c r="B109" s="17" t="str">
        <f t="shared" si="1"/>
        <v>MIDUSPBP_ID</v>
      </c>
      <c r="C109" s="17" t="s">
        <v>80</v>
      </c>
      <c r="D109" s="17" t="s">
        <v>27</v>
      </c>
    </row>
    <row r="110" spans="1:4" x14ac:dyDescent="0.3">
      <c r="A110" s="17" t="s">
        <v>218</v>
      </c>
      <c r="B110" s="17" t="str">
        <f t="shared" si="1"/>
        <v>MIDUSPRESCRIBER_ID</v>
      </c>
      <c r="C110" s="17" t="s">
        <v>77</v>
      </c>
      <c r="D110" s="17" t="s">
        <v>27</v>
      </c>
    </row>
    <row r="111" spans="1:4" x14ac:dyDescent="0.3">
      <c r="A111" s="17" t="s">
        <v>218</v>
      </c>
      <c r="B111" s="17" t="str">
        <f t="shared" si="1"/>
        <v>MIDUSPRESCRIBER_ID_QUAL</v>
      </c>
      <c r="C111" s="17" t="s">
        <v>78</v>
      </c>
      <c r="D111" s="17" t="s">
        <v>27</v>
      </c>
    </row>
    <row r="112" spans="1:4" x14ac:dyDescent="0.3">
      <c r="A112" s="17" t="s">
        <v>222</v>
      </c>
      <c r="B112" s="17" t="str">
        <f t="shared" si="1"/>
        <v>PTCLM_PTNT_RSDNC_CD</v>
      </c>
      <c r="C112" s="17" t="s">
        <v>55</v>
      </c>
      <c r="D112" s="17">
        <v>0</v>
      </c>
    </row>
    <row r="113" spans="1:4" x14ac:dyDescent="0.3">
      <c r="A113" s="17" t="s">
        <v>222</v>
      </c>
      <c r="B113" s="17" t="str">
        <f t="shared" si="1"/>
        <v>PTRX_DOS_DT</v>
      </c>
      <c r="C113" s="17" t="s">
        <v>51</v>
      </c>
      <c r="D113" s="17">
        <v>0</v>
      </c>
    </row>
    <row r="114" spans="1:4" x14ac:dyDescent="0.3">
      <c r="A114" s="17" t="s">
        <v>222</v>
      </c>
      <c r="B114" s="17" t="str">
        <f t="shared" si="1"/>
        <v>PTQUANTITY_DISPENSED</v>
      </c>
      <c r="C114" s="17" t="s">
        <v>144</v>
      </c>
      <c r="D114" s="17">
        <v>0</v>
      </c>
    </row>
    <row r="115" spans="1:4" x14ac:dyDescent="0.3">
      <c r="A115" s="17" t="s">
        <v>222</v>
      </c>
      <c r="B115" s="17" t="str">
        <f t="shared" si="1"/>
        <v>PTPROD_SERVICE_ID</v>
      </c>
      <c r="C115" s="17" t="s">
        <v>146</v>
      </c>
      <c r="D115" s="17">
        <v>0</v>
      </c>
    </row>
    <row r="116" spans="1:4" x14ac:dyDescent="0.3">
      <c r="A116" s="17" t="s">
        <v>222</v>
      </c>
      <c r="B116" s="17" t="str">
        <f t="shared" si="1"/>
        <v>PTDAYS_SUPPLY</v>
      </c>
      <c r="C116" s="17" t="s">
        <v>52</v>
      </c>
      <c r="D116" s="17">
        <v>0</v>
      </c>
    </row>
    <row r="117" spans="1:4" x14ac:dyDescent="0.3">
      <c r="A117" s="17" t="s">
        <v>222</v>
      </c>
      <c r="B117" s="17" t="str">
        <f t="shared" si="1"/>
        <v>PTCLM_LTC_DSPNSNG_MTHD_CD</v>
      </c>
      <c r="C117" s="17" t="s">
        <v>56</v>
      </c>
      <c r="D117" s="17" t="s">
        <v>27</v>
      </c>
    </row>
    <row r="118" spans="1:4" x14ac:dyDescent="0.3">
      <c r="A118" s="17" t="s">
        <v>222</v>
      </c>
      <c r="B118" s="17" t="str">
        <f t="shared" si="1"/>
        <v>PTBRND_GNRC_CD</v>
      </c>
      <c r="C118" s="17" t="s">
        <v>58</v>
      </c>
      <c r="D118" s="17">
        <v>0</v>
      </c>
    </row>
    <row r="119" spans="1:4" x14ac:dyDescent="0.3">
      <c r="A119" s="17" t="s">
        <v>222</v>
      </c>
      <c r="B119" s="17" t="str">
        <f t="shared" si="1"/>
        <v>PTCOMPUND_CD</v>
      </c>
      <c r="C119" s="17" t="s">
        <v>59</v>
      </c>
      <c r="D119" s="17" t="s">
        <v>27</v>
      </c>
    </row>
    <row r="120" spans="1:4" x14ac:dyDescent="0.3">
      <c r="A120" s="17" t="s">
        <v>222</v>
      </c>
      <c r="B120" s="17" t="str">
        <f t="shared" si="1"/>
        <v>PTDAW_CD</v>
      </c>
      <c r="C120" s="17" t="s">
        <v>60</v>
      </c>
      <c r="D120" s="17">
        <v>0</v>
      </c>
    </row>
    <row r="121" spans="1:4" x14ac:dyDescent="0.3">
      <c r="A121" s="17" t="s">
        <v>222</v>
      </c>
      <c r="B121" s="17" t="str">
        <f t="shared" si="1"/>
        <v>PTDISP_STAT_CD</v>
      </c>
      <c r="C121" s="17" t="s">
        <v>61</v>
      </c>
      <c r="D121" s="17">
        <v>0</v>
      </c>
    </row>
    <row r="122" spans="1:4" x14ac:dyDescent="0.3">
      <c r="A122" s="17" t="s">
        <v>222</v>
      </c>
      <c r="B122" s="17" t="str">
        <f t="shared" si="1"/>
        <v>PTFILL_NUM</v>
      </c>
      <c r="C122" s="17" t="s">
        <v>62</v>
      </c>
      <c r="D122" s="17">
        <v>0</v>
      </c>
    </row>
    <row r="123" spans="1:4" x14ac:dyDescent="0.3">
      <c r="A123" s="17" t="s">
        <v>222</v>
      </c>
      <c r="B123" s="17" t="str">
        <f t="shared" si="1"/>
        <v>PTPRESC_ORIGIN</v>
      </c>
      <c r="C123" s="17" t="s">
        <v>65</v>
      </c>
      <c r="D123" s="17" t="s">
        <v>27</v>
      </c>
    </row>
    <row r="124" spans="1:4" x14ac:dyDescent="0.3">
      <c r="A124" s="17" t="s">
        <v>222</v>
      </c>
      <c r="B124" s="17" t="str">
        <f t="shared" si="1"/>
        <v>PTNON_STAND_FMT_CD</v>
      </c>
      <c r="C124" s="17" t="s">
        <v>64</v>
      </c>
      <c r="D124" s="17" t="s">
        <v>27</v>
      </c>
    </row>
    <row r="125" spans="1:4" x14ac:dyDescent="0.3">
      <c r="A125" s="17" t="s">
        <v>222</v>
      </c>
      <c r="B125" s="17" t="str">
        <f t="shared" si="1"/>
        <v>PTPATIENT_PAY_AMT</v>
      </c>
      <c r="C125" s="17" t="s">
        <v>53</v>
      </c>
      <c r="D125" s="17">
        <v>0</v>
      </c>
    </row>
    <row r="126" spans="1:4" x14ac:dyDescent="0.3">
      <c r="A126" s="17" t="s">
        <v>222</v>
      </c>
      <c r="B126" s="17" t="str">
        <f t="shared" si="1"/>
        <v>PTCOVERAGE_STAT_CD</v>
      </c>
      <c r="C126" s="17" t="s">
        <v>57</v>
      </c>
      <c r="D126" s="17">
        <v>0</v>
      </c>
    </row>
    <row r="127" spans="1:4" x14ac:dyDescent="0.3">
      <c r="A127" s="17" t="s">
        <v>222</v>
      </c>
      <c r="B127" s="17" t="str">
        <f t="shared" si="1"/>
        <v>PTGAP_DSCNT_AMT</v>
      </c>
      <c r="C127" s="17" t="s">
        <v>73</v>
      </c>
      <c r="D127" s="17">
        <v>0</v>
      </c>
    </row>
    <row r="128" spans="1:4" x14ac:dyDescent="0.3">
      <c r="A128" s="17" t="s">
        <v>222</v>
      </c>
      <c r="B128" s="17" t="str">
        <f t="shared" si="1"/>
        <v>PTCOVERAGE_CD</v>
      </c>
      <c r="C128" s="17" t="s">
        <v>74</v>
      </c>
      <c r="D128" s="17">
        <v>0</v>
      </c>
    </row>
    <row r="129" spans="1:4" x14ac:dyDescent="0.3">
      <c r="A129" s="17" t="s">
        <v>222</v>
      </c>
      <c r="B129" s="17" t="str">
        <f t="shared" si="1"/>
        <v>PTBGN_BNFT_PHASE</v>
      </c>
      <c r="C129" s="17" t="s">
        <v>157</v>
      </c>
      <c r="D129" s="17">
        <v>0</v>
      </c>
    </row>
    <row r="130" spans="1:4" x14ac:dyDescent="0.3">
      <c r="A130" s="17" t="s">
        <v>222</v>
      </c>
      <c r="B130" s="17" t="str">
        <f t="shared" si="1"/>
        <v>PTEND_BNFT_PHASE</v>
      </c>
      <c r="C130" s="17" t="s">
        <v>158</v>
      </c>
      <c r="D130" s="17">
        <v>0</v>
      </c>
    </row>
    <row r="131" spans="1:4" x14ac:dyDescent="0.3">
      <c r="A131" s="17" t="s">
        <v>222</v>
      </c>
      <c r="B131" s="17" t="str">
        <f t="shared" si="1"/>
        <v>PTPRICE_EXCEPT_CD</v>
      </c>
      <c r="C131" s="17" t="s">
        <v>148</v>
      </c>
      <c r="D131" s="17" t="s">
        <v>27</v>
      </c>
    </row>
    <row r="132" spans="1:4" x14ac:dyDescent="0.3">
      <c r="A132" s="17" t="s">
        <v>222</v>
      </c>
      <c r="B132" s="17" t="str">
        <f t="shared" ref="B132:B195" si="2">CONCATENATE(A132,C132)</f>
        <v>PTABOVE_OOP_THRHLD</v>
      </c>
      <c r="C132" s="17" t="s">
        <v>67</v>
      </c>
      <c r="D132" s="17">
        <v>0</v>
      </c>
    </row>
    <row r="133" spans="1:4" x14ac:dyDescent="0.3">
      <c r="A133" s="17" t="s">
        <v>222</v>
      </c>
      <c r="B133" s="17" t="str">
        <f t="shared" si="2"/>
        <v>PTBELOW_OOP_THRHLD</v>
      </c>
      <c r="C133" s="17" t="s">
        <v>66</v>
      </c>
      <c r="D133" s="17">
        <v>0</v>
      </c>
    </row>
    <row r="134" spans="1:4" x14ac:dyDescent="0.3">
      <c r="A134" s="17" t="s">
        <v>222</v>
      </c>
      <c r="B134" s="17" t="str">
        <f t="shared" si="2"/>
        <v>PTLICS_AMT</v>
      </c>
      <c r="C134" s="17" t="s">
        <v>69</v>
      </c>
      <c r="D134" s="17">
        <v>0</v>
      </c>
    </row>
    <row r="135" spans="1:4" x14ac:dyDescent="0.3">
      <c r="A135" s="17" t="s">
        <v>222</v>
      </c>
      <c r="B135" s="17" t="str">
        <f t="shared" si="2"/>
        <v>PTCVRD_D_PLAN_PAID</v>
      </c>
      <c r="C135" s="17" t="s">
        <v>151</v>
      </c>
      <c r="D135" s="17">
        <v>0</v>
      </c>
    </row>
    <row r="136" spans="1:4" x14ac:dyDescent="0.3">
      <c r="A136" s="17" t="s">
        <v>222</v>
      </c>
      <c r="B136" s="17" t="str">
        <f t="shared" si="2"/>
        <v>PTNON_CVRD_PLAN_PAID</v>
      </c>
      <c r="C136" s="17" t="s">
        <v>72</v>
      </c>
      <c r="D136" s="17">
        <v>0</v>
      </c>
    </row>
    <row r="137" spans="1:4" x14ac:dyDescent="0.3">
      <c r="A137" s="17" t="s">
        <v>222</v>
      </c>
      <c r="B137" s="17" t="str">
        <f t="shared" si="2"/>
        <v>PTADJ_DEL_CD</v>
      </c>
      <c r="C137" s="17" t="s">
        <v>63</v>
      </c>
      <c r="D137" s="17" t="s">
        <v>27</v>
      </c>
    </row>
    <row r="138" spans="1:4" x14ac:dyDescent="0.3">
      <c r="A138" s="17" t="s">
        <v>222</v>
      </c>
      <c r="B138" s="17" t="str">
        <f t="shared" si="2"/>
        <v>PTOTHER_TROOP_AMT</v>
      </c>
      <c r="C138" s="17" t="s">
        <v>68</v>
      </c>
      <c r="D138" s="17">
        <v>0</v>
      </c>
    </row>
    <row r="139" spans="1:4" x14ac:dyDescent="0.3">
      <c r="A139" s="17" t="s">
        <v>222</v>
      </c>
      <c r="B139" s="17" t="str">
        <f t="shared" si="2"/>
        <v>PTPLRO_AMT</v>
      </c>
      <c r="C139" s="17" t="s">
        <v>70</v>
      </c>
      <c r="D139" s="17">
        <v>0</v>
      </c>
    </row>
    <row r="140" spans="1:4" x14ac:dyDescent="0.3">
      <c r="A140" s="17" t="s">
        <v>222</v>
      </c>
      <c r="B140" s="17" t="str">
        <f t="shared" si="2"/>
        <v>PTTOTAL_CST</v>
      </c>
      <c r="C140" s="17" t="s">
        <v>54</v>
      </c>
      <c r="D140" s="17">
        <v>0</v>
      </c>
    </row>
    <row r="141" spans="1:4" x14ac:dyDescent="0.3">
      <c r="A141" s="17" t="s">
        <v>222</v>
      </c>
      <c r="B141" s="17" t="str">
        <f t="shared" si="2"/>
        <v>PTSRVC_PROVIDER_ID</v>
      </c>
      <c r="C141" s="17" t="s">
        <v>75</v>
      </c>
      <c r="D141" s="17">
        <v>0</v>
      </c>
    </row>
    <row r="142" spans="1:4" x14ac:dyDescent="0.3">
      <c r="A142" s="17" t="s">
        <v>222</v>
      </c>
      <c r="B142" s="17" t="str">
        <f t="shared" si="2"/>
        <v>PTSRVC_PROVIDER_ID_QUAL</v>
      </c>
      <c r="C142" s="17" t="s">
        <v>76</v>
      </c>
      <c r="D142" s="17">
        <v>0</v>
      </c>
    </row>
    <row r="143" spans="1:4" x14ac:dyDescent="0.3">
      <c r="A143" s="17" t="s">
        <v>222</v>
      </c>
      <c r="B143" s="17" t="str">
        <f t="shared" si="2"/>
        <v>PTCLM_PHRMCY_SRVC_TYPE_CD</v>
      </c>
      <c r="C143" s="17" t="s">
        <v>92</v>
      </c>
      <c r="D143" s="17">
        <v>0</v>
      </c>
    </row>
    <row r="144" spans="1:4" x14ac:dyDescent="0.3">
      <c r="A144" s="17" t="s">
        <v>222</v>
      </c>
      <c r="B144" s="17" t="str">
        <f t="shared" si="2"/>
        <v>PTCONTRACT_NUM</v>
      </c>
      <c r="C144" s="17" t="s">
        <v>79</v>
      </c>
      <c r="D144" s="17" t="s">
        <v>27</v>
      </c>
    </row>
    <row r="145" spans="1:4" x14ac:dyDescent="0.3">
      <c r="A145" s="17" t="s">
        <v>222</v>
      </c>
      <c r="B145" s="17" t="str">
        <f t="shared" si="2"/>
        <v>PTPBP_ID</v>
      </c>
      <c r="C145" s="17" t="s">
        <v>80</v>
      </c>
      <c r="D145" s="17" t="s">
        <v>27</v>
      </c>
    </row>
    <row r="146" spans="1:4" x14ac:dyDescent="0.3">
      <c r="A146" s="17" t="s">
        <v>222</v>
      </c>
      <c r="B146" s="17" t="str">
        <f t="shared" si="2"/>
        <v>PTPRESCRIBER_ID</v>
      </c>
      <c r="C146" s="17" t="s">
        <v>77</v>
      </c>
      <c r="D146" s="17">
        <v>0</v>
      </c>
    </row>
    <row r="147" spans="1:4" x14ac:dyDescent="0.3">
      <c r="A147" s="17" t="s">
        <v>222</v>
      </c>
      <c r="B147" s="17" t="str">
        <f t="shared" si="2"/>
        <v>PTPRESCRIBER_ID_QUAL</v>
      </c>
      <c r="C147" s="17" t="s">
        <v>78</v>
      </c>
      <c r="D147" s="17">
        <v>0</v>
      </c>
    </row>
    <row r="148" spans="1:4" x14ac:dyDescent="0.3">
      <c r="A148" s="17" t="s">
        <v>39</v>
      </c>
      <c r="B148" s="17" t="str">
        <f t="shared" si="2"/>
        <v>PSADCLM_PTNT_RSDNC_CD</v>
      </c>
      <c r="C148" s="17" t="s">
        <v>55</v>
      </c>
      <c r="D148" s="17" t="s">
        <v>27</v>
      </c>
    </row>
    <row r="149" spans="1:4" x14ac:dyDescent="0.3">
      <c r="A149" s="17" t="s">
        <v>39</v>
      </c>
      <c r="B149" s="17" t="str">
        <f t="shared" si="2"/>
        <v>PSADRX_DOS_DT</v>
      </c>
      <c r="C149" s="17" t="s">
        <v>51</v>
      </c>
      <c r="D149" s="17">
        <v>0</v>
      </c>
    </row>
    <row r="150" spans="1:4" x14ac:dyDescent="0.3">
      <c r="A150" s="17" t="s">
        <v>39</v>
      </c>
      <c r="B150" s="17" t="str">
        <f t="shared" si="2"/>
        <v>PSADQUANTITY_DISPENSED</v>
      </c>
      <c r="C150" s="17" t="s">
        <v>144</v>
      </c>
      <c r="D150" s="17">
        <v>0</v>
      </c>
    </row>
    <row r="151" spans="1:4" x14ac:dyDescent="0.3">
      <c r="A151" s="17" t="s">
        <v>39</v>
      </c>
      <c r="B151" s="17" t="str">
        <f t="shared" si="2"/>
        <v>PSADPROD_SERVICE_ID</v>
      </c>
      <c r="C151" s="17" t="s">
        <v>146</v>
      </c>
      <c r="D151" s="17">
        <v>0</v>
      </c>
    </row>
    <row r="152" spans="1:4" x14ac:dyDescent="0.3">
      <c r="A152" s="17" t="s">
        <v>39</v>
      </c>
      <c r="B152" s="17" t="str">
        <f t="shared" si="2"/>
        <v>PSADDAYS_SUPPLY</v>
      </c>
      <c r="C152" s="17" t="s">
        <v>52</v>
      </c>
      <c r="D152" s="17">
        <v>0</v>
      </c>
    </row>
    <row r="153" spans="1:4" x14ac:dyDescent="0.3">
      <c r="A153" s="17" t="s">
        <v>39</v>
      </c>
      <c r="B153" s="17" t="str">
        <f t="shared" si="2"/>
        <v>PSADCLM_LTC_DSPNSNG_MTHD_CD</v>
      </c>
      <c r="C153" s="17" t="s">
        <v>56</v>
      </c>
      <c r="D153" s="17">
        <v>0</v>
      </c>
    </row>
    <row r="154" spans="1:4" x14ac:dyDescent="0.3">
      <c r="A154" s="17" t="s">
        <v>39</v>
      </c>
      <c r="B154" s="17" t="str">
        <f t="shared" si="2"/>
        <v>PSADBRND_GNRC_CD</v>
      </c>
      <c r="C154" s="17" t="s">
        <v>58</v>
      </c>
      <c r="D154" s="17">
        <v>0</v>
      </c>
    </row>
    <row r="155" spans="1:4" x14ac:dyDescent="0.3">
      <c r="A155" s="17" t="s">
        <v>39</v>
      </c>
      <c r="B155" s="17" t="str">
        <f t="shared" si="2"/>
        <v>PSADCOMPUND_CD</v>
      </c>
      <c r="C155" s="17" t="s">
        <v>59</v>
      </c>
      <c r="D155" s="17" t="s">
        <v>27</v>
      </c>
    </row>
    <row r="156" spans="1:4" x14ac:dyDescent="0.3">
      <c r="A156" s="17" t="s">
        <v>39</v>
      </c>
      <c r="B156" s="17" t="str">
        <f t="shared" si="2"/>
        <v>PSADDAW_CD</v>
      </c>
      <c r="C156" s="17" t="s">
        <v>60</v>
      </c>
      <c r="D156" s="17" t="s">
        <v>27</v>
      </c>
    </row>
    <row r="157" spans="1:4" x14ac:dyDescent="0.3">
      <c r="A157" s="17" t="s">
        <v>39</v>
      </c>
      <c r="B157" s="17" t="str">
        <f t="shared" si="2"/>
        <v>PSADDISP_STAT_CD</v>
      </c>
      <c r="C157" s="17" t="s">
        <v>61</v>
      </c>
      <c r="D157" s="17" t="s">
        <v>27</v>
      </c>
    </row>
    <row r="158" spans="1:4" x14ac:dyDescent="0.3">
      <c r="A158" s="17" t="s">
        <v>39</v>
      </c>
      <c r="B158" s="17" t="str">
        <f t="shared" si="2"/>
        <v>PSADFILL_NUM</v>
      </c>
      <c r="C158" s="17" t="s">
        <v>62</v>
      </c>
      <c r="D158" s="17" t="s">
        <v>27</v>
      </c>
    </row>
    <row r="159" spans="1:4" x14ac:dyDescent="0.3">
      <c r="A159" s="17" t="s">
        <v>39</v>
      </c>
      <c r="B159" s="17" t="str">
        <f t="shared" si="2"/>
        <v>PSADPRESC_ORIGIN</v>
      </c>
      <c r="C159" s="17" t="s">
        <v>65</v>
      </c>
      <c r="D159" s="17" t="s">
        <v>27</v>
      </c>
    </row>
    <row r="160" spans="1:4" x14ac:dyDescent="0.3">
      <c r="A160" s="17" t="s">
        <v>39</v>
      </c>
      <c r="B160" s="17" t="str">
        <f t="shared" si="2"/>
        <v>PSADNON_STAND_FMT_CD</v>
      </c>
      <c r="C160" s="17" t="s">
        <v>64</v>
      </c>
      <c r="D160" s="17" t="s">
        <v>27</v>
      </c>
    </row>
    <row r="161" spans="1:4" x14ac:dyDescent="0.3">
      <c r="A161" s="17" t="s">
        <v>39</v>
      </c>
      <c r="B161" s="17" t="str">
        <f t="shared" si="2"/>
        <v>PSADPATIENT_PAY_AMT</v>
      </c>
      <c r="C161" s="17" t="s">
        <v>53</v>
      </c>
      <c r="D161" s="17">
        <v>0</v>
      </c>
    </row>
    <row r="162" spans="1:4" x14ac:dyDescent="0.3">
      <c r="A162" s="17" t="s">
        <v>39</v>
      </c>
      <c r="B162" s="17" t="str">
        <f t="shared" si="2"/>
        <v>PSADCOVERAGE_STAT_CD</v>
      </c>
      <c r="C162" s="17" t="s">
        <v>57</v>
      </c>
      <c r="D162" s="17">
        <v>0</v>
      </c>
    </row>
    <row r="163" spans="1:4" x14ac:dyDescent="0.3">
      <c r="A163" s="17" t="s">
        <v>39</v>
      </c>
      <c r="B163" s="17" t="str">
        <f t="shared" si="2"/>
        <v>PSADGAP_DSCNT_AMT</v>
      </c>
      <c r="C163" s="17" t="s">
        <v>73</v>
      </c>
      <c r="D163" s="17">
        <v>0</v>
      </c>
    </row>
    <row r="164" spans="1:4" x14ac:dyDescent="0.3">
      <c r="A164" s="17" t="s">
        <v>39</v>
      </c>
      <c r="B164" s="17" t="str">
        <f t="shared" si="2"/>
        <v>PSADCOVERAGE_CD</v>
      </c>
      <c r="C164" s="17" t="s">
        <v>74</v>
      </c>
      <c r="D164" s="17">
        <v>0</v>
      </c>
    </row>
    <row r="165" spans="1:4" x14ac:dyDescent="0.3">
      <c r="A165" s="17" t="s">
        <v>39</v>
      </c>
      <c r="B165" s="17" t="str">
        <f t="shared" si="2"/>
        <v>PSADBGN_BNFT_PHASE</v>
      </c>
      <c r="C165" s="17" t="s">
        <v>157</v>
      </c>
      <c r="D165" s="17">
        <v>0</v>
      </c>
    </row>
    <row r="166" spans="1:4" x14ac:dyDescent="0.3">
      <c r="A166" s="17" t="s">
        <v>39</v>
      </c>
      <c r="B166" s="17" t="str">
        <f t="shared" si="2"/>
        <v>PSADEND_BNFT_PHASE</v>
      </c>
      <c r="C166" s="17" t="s">
        <v>158</v>
      </c>
      <c r="D166" s="17">
        <v>0</v>
      </c>
    </row>
    <row r="167" spans="1:4" x14ac:dyDescent="0.3">
      <c r="A167" s="17" t="s">
        <v>39</v>
      </c>
      <c r="B167" s="17" t="str">
        <f t="shared" si="2"/>
        <v>PSADPRICE_EXCEPT_CD</v>
      </c>
      <c r="C167" s="17" t="s">
        <v>148</v>
      </c>
      <c r="D167" s="17" t="s">
        <v>27</v>
      </c>
    </row>
    <row r="168" spans="1:4" x14ac:dyDescent="0.3">
      <c r="A168" s="17" t="s">
        <v>39</v>
      </c>
      <c r="B168" s="17" t="str">
        <f t="shared" si="2"/>
        <v>PSADABOVE_OOP_THRHLD</v>
      </c>
      <c r="C168" s="17" t="s">
        <v>67</v>
      </c>
      <c r="D168" s="17">
        <v>0</v>
      </c>
    </row>
    <row r="169" spans="1:4" x14ac:dyDescent="0.3">
      <c r="A169" s="17" t="s">
        <v>39</v>
      </c>
      <c r="B169" s="17" t="str">
        <f t="shared" si="2"/>
        <v>PSADBELOW_OOP_THRHLD</v>
      </c>
      <c r="C169" s="17" t="s">
        <v>66</v>
      </c>
      <c r="D169" s="17">
        <v>0</v>
      </c>
    </row>
    <row r="170" spans="1:4" x14ac:dyDescent="0.3">
      <c r="A170" s="17" t="s">
        <v>39</v>
      </c>
      <c r="B170" s="17" t="str">
        <f t="shared" si="2"/>
        <v>PSADLICS_AMT</v>
      </c>
      <c r="C170" s="17" t="s">
        <v>69</v>
      </c>
      <c r="D170" s="17">
        <v>0</v>
      </c>
    </row>
    <row r="171" spans="1:4" x14ac:dyDescent="0.3">
      <c r="A171" s="17" t="s">
        <v>39</v>
      </c>
      <c r="B171" s="17" t="str">
        <f t="shared" si="2"/>
        <v>PSADCVRD_D_PLAN_PAID</v>
      </c>
      <c r="C171" s="17" t="s">
        <v>151</v>
      </c>
      <c r="D171" s="17">
        <v>0</v>
      </c>
    </row>
    <row r="172" spans="1:4" x14ac:dyDescent="0.3">
      <c r="A172" s="17" t="s">
        <v>39</v>
      </c>
      <c r="B172" s="17" t="str">
        <f t="shared" si="2"/>
        <v>PSADNON_CVRD_PLAN_PAID</v>
      </c>
      <c r="C172" s="17" t="s">
        <v>72</v>
      </c>
      <c r="D172" s="17">
        <v>0</v>
      </c>
    </row>
    <row r="173" spans="1:4" x14ac:dyDescent="0.3">
      <c r="A173" s="17" t="s">
        <v>39</v>
      </c>
      <c r="B173" s="17" t="str">
        <f t="shared" si="2"/>
        <v>PSADADJ_DEL_CD</v>
      </c>
      <c r="C173" s="17" t="s">
        <v>63</v>
      </c>
      <c r="D173" s="17" t="s">
        <v>27</v>
      </c>
    </row>
    <row r="174" spans="1:4" x14ac:dyDescent="0.3">
      <c r="A174" s="17" t="s">
        <v>39</v>
      </c>
      <c r="B174" s="17" t="str">
        <f t="shared" si="2"/>
        <v>PSADOTHER_TROOP_AMT</v>
      </c>
      <c r="C174" s="17" t="s">
        <v>68</v>
      </c>
      <c r="D174" s="17">
        <v>0</v>
      </c>
    </row>
    <row r="175" spans="1:4" x14ac:dyDescent="0.3">
      <c r="A175" s="17" t="s">
        <v>39</v>
      </c>
      <c r="B175" s="17" t="str">
        <f t="shared" si="2"/>
        <v>PSADPLRO_AMT</v>
      </c>
      <c r="C175" s="17" t="s">
        <v>70</v>
      </c>
      <c r="D175" s="17">
        <v>0</v>
      </c>
    </row>
    <row r="176" spans="1:4" x14ac:dyDescent="0.3">
      <c r="A176" s="17" t="s">
        <v>39</v>
      </c>
      <c r="B176" s="17" t="str">
        <f t="shared" si="2"/>
        <v>PSADTOTAL_CST</v>
      </c>
      <c r="C176" s="17" t="s">
        <v>54</v>
      </c>
      <c r="D176" s="17">
        <v>0</v>
      </c>
    </row>
    <row r="177" spans="1:4" x14ac:dyDescent="0.3">
      <c r="A177" s="17" t="s">
        <v>39</v>
      </c>
      <c r="B177" s="17" t="str">
        <f t="shared" si="2"/>
        <v>PSADSRVC_PROVIDER_ID</v>
      </c>
      <c r="C177" s="17" t="s">
        <v>75</v>
      </c>
      <c r="D177" s="17" t="s">
        <v>27</v>
      </c>
    </row>
    <row r="178" spans="1:4" x14ac:dyDescent="0.3">
      <c r="A178" s="17" t="s">
        <v>39</v>
      </c>
      <c r="B178" s="17" t="str">
        <f t="shared" si="2"/>
        <v>PSADSRVC_PROVIDER_ID_QUAL</v>
      </c>
      <c r="C178" s="17" t="s">
        <v>76</v>
      </c>
      <c r="D178" s="17" t="s">
        <v>27</v>
      </c>
    </row>
    <row r="179" spans="1:4" x14ac:dyDescent="0.3">
      <c r="A179" s="17" t="s">
        <v>39</v>
      </c>
      <c r="B179" s="17" t="str">
        <f t="shared" si="2"/>
        <v>PSADCLM_PHRMCY_SRVC_TYPE_CD</v>
      </c>
      <c r="C179" s="17" t="s">
        <v>92</v>
      </c>
      <c r="D179" s="17" t="s">
        <v>27</v>
      </c>
    </row>
    <row r="180" spans="1:4" x14ac:dyDescent="0.3">
      <c r="A180" s="17" t="s">
        <v>39</v>
      </c>
      <c r="B180" s="17" t="str">
        <f t="shared" si="2"/>
        <v>PSADCONTRACT_NUM</v>
      </c>
      <c r="C180" s="17" t="s">
        <v>79</v>
      </c>
      <c r="D180" s="17" t="s">
        <v>27</v>
      </c>
    </row>
    <row r="181" spans="1:4" x14ac:dyDescent="0.3">
      <c r="A181" s="17" t="s">
        <v>39</v>
      </c>
      <c r="B181" s="17" t="str">
        <f t="shared" si="2"/>
        <v>PSADPBP_ID</v>
      </c>
      <c r="C181" s="17" t="s">
        <v>80</v>
      </c>
      <c r="D181" s="17" t="s">
        <v>27</v>
      </c>
    </row>
    <row r="182" spans="1:4" x14ac:dyDescent="0.3">
      <c r="A182" s="17" t="s">
        <v>39</v>
      </c>
      <c r="B182" s="17" t="str">
        <f t="shared" si="2"/>
        <v>PSADPRESCRIBER_ID</v>
      </c>
      <c r="C182" s="17" t="s">
        <v>77</v>
      </c>
      <c r="D182" s="17" t="s">
        <v>27</v>
      </c>
    </row>
    <row r="183" spans="1:4" x14ac:dyDescent="0.3">
      <c r="A183" s="17" t="s">
        <v>39</v>
      </c>
      <c r="B183" s="17" t="str">
        <f t="shared" si="2"/>
        <v>PSADPRESCRIBER_ID_QUAL</v>
      </c>
      <c r="C183" s="17" t="s">
        <v>78</v>
      </c>
      <c r="D183" s="17" t="s">
        <v>27</v>
      </c>
    </row>
    <row r="184" spans="1:4" x14ac:dyDescent="0.3">
      <c r="A184" s="17" t="s">
        <v>223</v>
      </c>
      <c r="B184" s="17" t="str">
        <f t="shared" si="2"/>
        <v>RADCCLM_PTNT_RSDNC_CD</v>
      </c>
      <c r="C184" s="17" t="s">
        <v>55</v>
      </c>
      <c r="D184" s="17">
        <v>0</v>
      </c>
    </row>
    <row r="185" spans="1:4" x14ac:dyDescent="0.3">
      <c r="A185" s="17" t="s">
        <v>223</v>
      </c>
      <c r="B185" s="17" t="str">
        <f t="shared" si="2"/>
        <v>RADCRX_DOS_DT</v>
      </c>
      <c r="C185" s="17" t="s">
        <v>51</v>
      </c>
      <c r="D185" s="17">
        <v>0</v>
      </c>
    </row>
    <row r="186" spans="1:4" x14ac:dyDescent="0.3">
      <c r="A186" s="17" t="s">
        <v>223</v>
      </c>
      <c r="B186" s="17" t="str">
        <f t="shared" si="2"/>
        <v>RADCQUANTITY_DISPENSED</v>
      </c>
      <c r="C186" s="17" t="s">
        <v>144</v>
      </c>
      <c r="D186" s="17">
        <v>0</v>
      </c>
    </row>
    <row r="187" spans="1:4" x14ac:dyDescent="0.3">
      <c r="A187" s="17" t="s">
        <v>223</v>
      </c>
      <c r="B187" s="17" t="str">
        <f t="shared" si="2"/>
        <v>RADCPROD_SERVICE_ID</v>
      </c>
      <c r="C187" s="17" t="s">
        <v>146</v>
      </c>
      <c r="D187" s="17">
        <v>0</v>
      </c>
    </row>
    <row r="188" spans="1:4" x14ac:dyDescent="0.3">
      <c r="A188" s="17" t="s">
        <v>223</v>
      </c>
      <c r="B188" s="17" t="str">
        <f t="shared" si="2"/>
        <v>RADCDAYS_SUPPLY</v>
      </c>
      <c r="C188" s="17" t="s">
        <v>52</v>
      </c>
      <c r="D188" s="17">
        <v>0</v>
      </c>
    </row>
    <row r="189" spans="1:4" x14ac:dyDescent="0.3">
      <c r="A189" s="17" t="s">
        <v>223</v>
      </c>
      <c r="B189" s="17" t="str">
        <f t="shared" si="2"/>
        <v>RADCCLM_LTC_DSPNSNG_MTHD_CD</v>
      </c>
      <c r="C189" s="17" t="s">
        <v>56</v>
      </c>
      <c r="D189" s="17">
        <v>0</v>
      </c>
    </row>
    <row r="190" spans="1:4" x14ac:dyDescent="0.3">
      <c r="A190" s="17" t="s">
        <v>223</v>
      </c>
      <c r="B190" s="17" t="str">
        <f t="shared" si="2"/>
        <v>RADCBRND_GNRC_CD</v>
      </c>
      <c r="C190" s="17" t="s">
        <v>58</v>
      </c>
      <c r="D190" s="17">
        <v>0</v>
      </c>
    </row>
    <row r="191" spans="1:4" x14ac:dyDescent="0.3">
      <c r="A191" s="17" t="s">
        <v>223</v>
      </c>
      <c r="B191" s="17" t="str">
        <f t="shared" si="2"/>
        <v>RADCCOMPUND_CD</v>
      </c>
      <c r="C191" s="17" t="s">
        <v>59</v>
      </c>
      <c r="D191" s="17">
        <v>0</v>
      </c>
    </row>
    <row r="192" spans="1:4" x14ac:dyDescent="0.3">
      <c r="A192" s="17" t="s">
        <v>223</v>
      </c>
      <c r="B192" s="17" t="str">
        <f t="shared" si="2"/>
        <v>RADCDAW_CD</v>
      </c>
      <c r="C192" s="17" t="s">
        <v>60</v>
      </c>
      <c r="D192" s="17">
        <v>0</v>
      </c>
    </row>
    <row r="193" spans="1:4" x14ac:dyDescent="0.3">
      <c r="A193" s="17" t="s">
        <v>223</v>
      </c>
      <c r="B193" s="17" t="str">
        <f t="shared" si="2"/>
        <v>RADCDISP_STAT_CD</v>
      </c>
      <c r="C193" s="17" t="s">
        <v>61</v>
      </c>
      <c r="D193" s="17">
        <v>0</v>
      </c>
    </row>
    <row r="194" spans="1:4" x14ac:dyDescent="0.3">
      <c r="A194" s="17" t="s">
        <v>223</v>
      </c>
      <c r="B194" s="17" t="str">
        <f t="shared" si="2"/>
        <v>RADCFILL_NUM</v>
      </c>
      <c r="C194" s="17" t="s">
        <v>62</v>
      </c>
      <c r="D194" s="17">
        <v>0</v>
      </c>
    </row>
    <row r="195" spans="1:4" x14ac:dyDescent="0.3">
      <c r="A195" s="17" t="s">
        <v>223</v>
      </c>
      <c r="B195" s="17" t="str">
        <f t="shared" si="2"/>
        <v>RADCPRESC_ORIGIN</v>
      </c>
      <c r="C195" s="17" t="s">
        <v>65</v>
      </c>
      <c r="D195" s="17">
        <v>0</v>
      </c>
    </row>
    <row r="196" spans="1:4" x14ac:dyDescent="0.3">
      <c r="A196" s="17" t="s">
        <v>223</v>
      </c>
      <c r="B196" s="17" t="str">
        <f t="shared" ref="B196:B259" si="3">CONCATENATE(A196,C196)</f>
        <v>RADCNON_STAND_FMT_CD</v>
      </c>
      <c r="C196" s="17" t="s">
        <v>64</v>
      </c>
      <c r="D196" s="17">
        <v>0</v>
      </c>
    </row>
    <row r="197" spans="1:4" x14ac:dyDescent="0.3">
      <c r="A197" s="17" t="s">
        <v>223</v>
      </c>
      <c r="B197" s="17" t="str">
        <f t="shared" si="3"/>
        <v>RADCPATIENT_PAY_AMT</v>
      </c>
      <c r="C197" s="17" t="s">
        <v>53</v>
      </c>
      <c r="D197" s="17">
        <v>0</v>
      </c>
    </row>
    <row r="198" spans="1:4" x14ac:dyDescent="0.3">
      <c r="A198" s="17" t="s">
        <v>223</v>
      </c>
      <c r="B198" s="17" t="str">
        <f t="shared" si="3"/>
        <v>RADCCOVERAGE_STAT_CD</v>
      </c>
      <c r="C198" s="17" t="s">
        <v>57</v>
      </c>
      <c r="D198" s="17">
        <v>0</v>
      </c>
    </row>
    <row r="199" spans="1:4" x14ac:dyDescent="0.3">
      <c r="A199" s="17" t="s">
        <v>223</v>
      </c>
      <c r="B199" s="17" t="str">
        <f t="shared" si="3"/>
        <v>RADCGAP_DSCNT_AMT</v>
      </c>
      <c r="C199" s="17" t="s">
        <v>73</v>
      </c>
      <c r="D199" s="17">
        <v>0</v>
      </c>
    </row>
    <row r="200" spans="1:4" x14ac:dyDescent="0.3">
      <c r="A200" s="17" t="s">
        <v>223</v>
      </c>
      <c r="B200" s="17" t="str">
        <f t="shared" si="3"/>
        <v>RADCCOVERAGE_CD</v>
      </c>
      <c r="C200" s="17" t="s">
        <v>74</v>
      </c>
      <c r="D200" s="17">
        <v>0</v>
      </c>
    </row>
    <row r="201" spans="1:4" x14ac:dyDescent="0.3">
      <c r="A201" s="17" t="s">
        <v>223</v>
      </c>
      <c r="B201" s="17" t="str">
        <f t="shared" si="3"/>
        <v>RADCBGN_BNFT_PHASE</v>
      </c>
      <c r="C201" s="17" t="s">
        <v>157</v>
      </c>
      <c r="D201" s="17">
        <v>0</v>
      </c>
    </row>
    <row r="202" spans="1:4" x14ac:dyDescent="0.3">
      <c r="A202" s="17" t="s">
        <v>223</v>
      </c>
      <c r="B202" s="17" t="str">
        <f t="shared" si="3"/>
        <v>RADCEND_BNFT_PHASE</v>
      </c>
      <c r="C202" s="17" t="s">
        <v>158</v>
      </c>
      <c r="D202" s="17">
        <v>0</v>
      </c>
    </row>
    <row r="203" spans="1:4" x14ac:dyDescent="0.3">
      <c r="A203" s="17" t="s">
        <v>223</v>
      </c>
      <c r="B203" s="17" t="str">
        <f t="shared" si="3"/>
        <v>RADCPRICE_EXCEPT_CD</v>
      </c>
      <c r="C203" s="17" t="s">
        <v>148</v>
      </c>
      <c r="D203" s="17">
        <v>0</v>
      </c>
    </row>
    <row r="204" spans="1:4" x14ac:dyDescent="0.3">
      <c r="A204" s="17" t="s">
        <v>223</v>
      </c>
      <c r="B204" s="17" t="str">
        <f t="shared" si="3"/>
        <v>RADCABOVE_OOP_THRHLD</v>
      </c>
      <c r="C204" s="17" t="s">
        <v>67</v>
      </c>
      <c r="D204" s="17">
        <v>0</v>
      </c>
    </row>
    <row r="205" spans="1:4" x14ac:dyDescent="0.3">
      <c r="A205" s="17" t="s">
        <v>223</v>
      </c>
      <c r="B205" s="17" t="str">
        <f t="shared" si="3"/>
        <v>RADCBELOW_OOP_THRHLD</v>
      </c>
      <c r="C205" s="17" t="s">
        <v>66</v>
      </c>
      <c r="D205" s="17">
        <v>0</v>
      </c>
    </row>
    <row r="206" spans="1:4" x14ac:dyDescent="0.3">
      <c r="A206" s="17" t="s">
        <v>223</v>
      </c>
      <c r="B206" s="17" t="str">
        <f t="shared" si="3"/>
        <v>RADCLICS_AMT</v>
      </c>
      <c r="C206" s="17" t="s">
        <v>69</v>
      </c>
      <c r="D206" s="17">
        <v>0</v>
      </c>
    </row>
    <row r="207" spans="1:4" x14ac:dyDescent="0.3">
      <c r="A207" s="17" t="s">
        <v>223</v>
      </c>
      <c r="B207" s="17" t="str">
        <f t="shared" si="3"/>
        <v>RADCCVRD_D_PLAN_PAID</v>
      </c>
      <c r="C207" s="17" t="s">
        <v>151</v>
      </c>
      <c r="D207" s="17">
        <v>0</v>
      </c>
    </row>
    <row r="208" spans="1:4" x14ac:dyDescent="0.3">
      <c r="A208" s="17" t="s">
        <v>223</v>
      </c>
      <c r="B208" s="17" t="str">
        <f t="shared" si="3"/>
        <v>RADCNON_CVRD_PLAN_PAID</v>
      </c>
      <c r="C208" s="17" t="s">
        <v>72</v>
      </c>
      <c r="D208" s="17">
        <v>0</v>
      </c>
    </row>
    <row r="209" spans="1:4" x14ac:dyDescent="0.3">
      <c r="A209" s="17" t="s">
        <v>223</v>
      </c>
      <c r="B209" s="17" t="str">
        <f t="shared" si="3"/>
        <v>RADCADJ_DEL_CD</v>
      </c>
      <c r="C209" s="17" t="s">
        <v>63</v>
      </c>
      <c r="D209" s="17">
        <v>0</v>
      </c>
    </row>
    <row r="210" spans="1:4" x14ac:dyDescent="0.3">
      <c r="A210" s="17" t="s">
        <v>223</v>
      </c>
      <c r="B210" s="17" t="str">
        <f t="shared" si="3"/>
        <v>RADCOTHER_TROOP_AMT</v>
      </c>
      <c r="C210" s="17" t="s">
        <v>68</v>
      </c>
      <c r="D210" s="17">
        <v>0</v>
      </c>
    </row>
    <row r="211" spans="1:4" x14ac:dyDescent="0.3">
      <c r="A211" s="17" t="s">
        <v>223</v>
      </c>
      <c r="B211" s="17" t="str">
        <f t="shared" si="3"/>
        <v>RADCPLRO_AMT</v>
      </c>
      <c r="C211" s="17" t="s">
        <v>70</v>
      </c>
      <c r="D211" s="17">
        <v>0</v>
      </c>
    </row>
    <row r="212" spans="1:4" x14ac:dyDescent="0.3">
      <c r="A212" s="17" t="s">
        <v>223</v>
      </c>
      <c r="B212" s="17" t="str">
        <f t="shared" si="3"/>
        <v>RADCTOTAL_CST</v>
      </c>
      <c r="C212" s="17" t="s">
        <v>54</v>
      </c>
      <c r="D212" s="17">
        <v>0</v>
      </c>
    </row>
    <row r="213" spans="1:4" x14ac:dyDescent="0.3">
      <c r="A213" s="17" t="s">
        <v>223</v>
      </c>
      <c r="B213" s="17" t="str">
        <f t="shared" si="3"/>
        <v>RADCSRVC_PROVIDER_ID</v>
      </c>
      <c r="C213" s="17" t="s">
        <v>75</v>
      </c>
      <c r="D213" s="17">
        <v>0</v>
      </c>
    </row>
    <row r="214" spans="1:4" x14ac:dyDescent="0.3">
      <c r="A214" s="17" t="s">
        <v>223</v>
      </c>
      <c r="B214" s="17" t="str">
        <f t="shared" si="3"/>
        <v>RADCSRVC_PROVIDER_ID_QUAL</v>
      </c>
      <c r="C214" s="17" t="s">
        <v>76</v>
      </c>
      <c r="D214" s="17" t="s">
        <v>27</v>
      </c>
    </row>
    <row r="215" spans="1:4" x14ac:dyDescent="0.3">
      <c r="A215" s="17" t="s">
        <v>223</v>
      </c>
      <c r="B215" s="17" t="str">
        <f t="shared" si="3"/>
        <v>RADCCLM_PHRMCY_SRVC_TYPE_CD</v>
      </c>
      <c r="C215" s="17" t="s">
        <v>92</v>
      </c>
      <c r="D215" s="17">
        <v>0</v>
      </c>
    </row>
    <row r="216" spans="1:4" x14ac:dyDescent="0.3">
      <c r="A216" s="17" t="s">
        <v>223</v>
      </c>
      <c r="B216" s="17" t="str">
        <f t="shared" si="3"/>
        <v>RADCCONTRACT_NUM</v>
      </c>
      <c r="C216" s="17" t="s">
        <v>79</v>
      </c>
      <c r="D216" s="17">
        <v>0</v>
      </c>
    </row>
    <row r="217" spans="1:4" x14ac:dyDescent="0.3">
      <c r="A217" s="17" t="s">
        <v>223</v>
      </c>
      <c r="B217" s="17" t="str">
        <f t="shared" si="3"/>
        <v>RADCPBP_ID</v>
      </c>
      <c r="C217" s="17" t="s">
        <v>80</v>
      </c>
      <c r="D217" s="17">
        <v>0</v>
      </c>
    </row>
    <row r="218" spans="1:4" x14ac:dyDescent="0.3">
      <c r="A218" s="17" t="s">
        <v>223</v>
      </c>
      <c r="B218" s="17" t="str">
        <f t="shared" si="3"/>
        <v>RADCPRESCRIBER_ID</v>
      </c>
      <c r="C218" s="17" t="s">
        <v>77</v>
      </c>
      <c r="D218" s="17">
        <v>0</v>
      </c>
    </row>
    <row r="219" spans="1:4" x14ac:dyDescent="0.3">
      <c r="A219" s="17" t="s">
        <v>223</v>
      </c>
      <c r="B219" s="17" t="str">
        <f t="shared" si="3"/>
        <v>RADCPRESCRIBER_ID_QUAL</v>
      </c>
      <c r="C219" s="17" t="s">
        <v>78</v>
      </c>
      <c r="D219" s="17">
        <v>0</v>
      </c>
    </row>
    <row r="220" spans="1:4" x14ac:dyDescent="0.3">
      <c r="A220" s="17" t="s">
        <v>224</v>
      </c>
      <c r="B220" s="17" t="str">
        <f t="shared" si="3"/>
        <v>UASCLM_PTNT_RSDNC_CD</v>
      </c>
      <c r="C220" s="17" t="s">
        <v>55</v>
      </c>
      <c r="D220" s="17">
        <v>0</v>
      </c>
    </row>
    <row r="221" spans="1:4" x14ac:dyDescent="0.3">
      <c r="A221" s="17" t="s">
        <v>224</v>
      </c>
      <c r="B221" s="17" t="str">
        <f t="shared" si="3"/>
        <v>UASRX_DOS_DT</v>
      </c>
      <c r="C221" s="17" t="s">
        <v>51</v>
      </c>
      <c r="D221" s="17">
        <v>0</v>
      </c>
    </row>
    <row r="222" spans="1:4" x14ac:dyDescent="0.3">
      <c r="A222" s="17" t="s">
        <v>224</v>
      </c>
      <c r="B222" s="17" t="str">
        <f t="shared" si="3"/>
        <v>UASQUANTITY_DISPENSED</v>
      </c>
      <c r="C222" s="17" t="s">
        <v>144</v>
      </c>
      <c r="D222" s="17">
        <v>0</v>
      </c>
    </row>
    <row r="223" spans="1:4" x14ac:dyDescent="0.3">
      <c r="A223" s="17" t="s">
        <v>224</v>
      </c>
      <c r="B223" s="17" t="str">
        <f t="shared" si="3"/>
        <v>UASPROD_SERVICE_ID</v>
      </c>
      <c r="C223" s="17" t="s">
        <v>146</v>
      </c>
      <c r="D223" s="17">
        <v>0</v>
      </c>
    </row>
    <row r="224" spans="1:4" x14ac:dyDescent="0.3">
      <c r="A224" s="17" t="s">
        <v>224</v>
      </c>
      <c r="B224" s="17" t="str">
        <f t="shared" si="3"/>
        <v>UASDAYS_SUPPLY</v>
      </c>
      <c r="C224" s="17" t="s">
        <v>52</v>
      </c>
      <c r="D224" s="17">
        <v>0</v>
      </c>
    </row>
    <row r="225" spans="1:4" x14ac:dyDescent="0.3">
      <c r="A225" s="17" t="s">
        <v>224</v>
      </c>
      <c r="B225" s="17" t="str">
        <f t="shared" si="3"/>
        <v>UASCLM_LTC_DSPNSNG_MTHD_CD</v>
      </c>
      <c r="C225" s="17" t="s">
        <v>56</v>
      </c>
      <c r="D225" s="17">
        <v>0</v>
      </c>
    </row>
    <row r="226" spans="1:4" x14ac:dyDescent="0.3">
      <c r="A226" s="17" t="s">
        <v>224</v>
      </c>
      <c r="B226" s="17" t="str">
        <f t="shared" si="3"/>
        <v>UASBRND_GNRC_CD</v>
      </c>
      <c r="C226" s="17" t="s">
        <v>58</v>
      </c>
      <c r="D226" s="17">
        <v>0</v>
      </c>
    </row>
    <row r="227" spans="1:4" x14ac:dyDescent="0.3">
      <c r="A227" s="17" t="s">
        <v>224</v>
      </c>
      <c r="B227" s="17" t="str">
        <f t="shared" si="3"/>
        <v>UASCOMPUND_CD</v>
      </c>
      <c r="C227" s="17" t="s">
        <v>59</v>
      </c>
      <c r="D227" s="17">
        <v>0</v>
      </c>
    </row>
    <row r="228" spans="1:4" x14ac:dyDescent="0.3">
      <c r="A228" s="17" t="s">
        <v>224</v>
      </c>
      <c r="B228" s="17" t="str">
        <f t="shared" si="3"/>
        <v>UASDAW_CD</v>
      </c>
      <c r="C228" s="17" t="s">
        <v>60</v>
      </c>
      <c r="D228" s="17">
        <v>0</v>
      </c>
    </row>
    <row r="229" spans="1:4" x14ac:dyDescent="0.3">
      <c r="A229" s="17" t="s">
        <v>224</v>
      </c>
      <c r="B229" s="17" t="str">
        <f t="shared" si="3"/>
        <v>UASDISP_STAT_CD</v>
      </c>
      <c r="C229" s="17" t="s">
        <v>61</v>
      </c>
      <c r="D229" s="17">
        <v>0</v>
      </c>
    </row>
    <row r="230" spans="1:4" x14ac:dyDescent="0.3">
      <c r="A230" s="17" t="s">
        <v>224</v>
      </c>
      <c r="B230" s="17" t="str">
        <f t="shared" si="3"/>
        <v>UASFILL_NUM</v>
      </c>
      <c r="C230" s="17" t="s">
        <v>62</v>
      </c>
      <c r="D230" s="17">
        <v>0</v>
      </c>
    </row>
    <row r="231" spans="1:4" x14ac:dyDescent="0.3">
      <c r="A231" s="17" t="s">
        <v>224</v>
      </c>
      <c r="B231" s="17" t="str">
        <f t="shared" si="3"/>
        <v>UASPRESC_ORIGIN</v>
      </c>
      <c r="C231" s="17" t="s">
        <v>65</v>
      </c>
      <c r="D231" s="17">
        <v>0</v>
      </c>
    </row>
    <row r="232" spans="1:4" x14ac:dyDescent="0.3">
      <c r="A232" s="17" t="s">
        <v>224</v>
      </c>
      <c r="B232" s="17" t="str">
        <f t="shared" si="3"/>
        <v>UASNON_STAND_FMT_CD</v>
      </c>
      <c r="C232" s="17" t="s">
        <v>64</v>
      </c>
      <c r="D232" s="17" t="s">
        <v>27</v>
      </c>
    </row>
    <row r="233" spans="1:4" x14ac:dyDescent="0.3">
      <c r="A233" s="17" t="s">
        <v>224</v>
      </c>
      <c r="B233" s="17" t="str">
        <f t="shared" si="3"/>
        <v>UASPATIENT_PAY_AMT</v>
      </c>
      <c r="C233" s="17" t="s">
        <v>53</v>
      </c>
      <c r="D233" s="17">
        <v>0</v>
      </c>
    </row>
    <row r="234" spans="1:4" x14ac:dyDescent="0.3">
      <c r="A234" s="17" t="s">
        <v>224</v>
      </c>
      <c r="B234" s="17" t="str">
        <f t="shared" si="3"/>
        <v>UASCOVERAGE_STAT_CD</v>
      </c>
      <c r="C234" s="17" t="s">
        <v>57</v>
      </c>
      <c r="D234" s="17">
        <v>0</v>
      </c>
    </row>
    <row r="235" spans="1:4" x14ac:dyDescent="0.3">
      <c r="A235" s="17" t="s">
        <v>224</v>
      </c>
      <c r="B235" s="17" t="str">
        <f t="shared" si="3"/>
        <v>UASGAP_DSCNT_AMT</v>
      </c>
      <c r="C235" s="17" t="s">
        <v>73</v>
      </c>
      <c r="D235" s="17">
        <v>0</v>
      </c>
    </row>
    <row r="236" spans="1:4" x14ac:dyDescent="0.3">
      <c r="A236" s="17" t="s">
        <v>224</v>
      </c>
      <c r="B236" s="17" t="str">
        <f t="shared" si="3"/>
        <v>UASCOVERAGE_CD</v>
      </c>
      <c r="C236" s="17" t="s">
        <v>74</v>
      </c>
      <c r="D236" s="17">
        <v>0</v>
      </c>
    </row>
    <row r="237" spans="1:4" x14ac:dyDescent="0.3">
      <c r="A237" s="17" t="s">
        <v>224</v>
      </c>
      <c r="B237" s="17" t="str">
        <f t="shared" si="3"/>
        <v>UASBGN_BNFT_PHASE</v>
      </c>
      <c r="C237" s="17" t="s">
        <v>157</v>
      </c>
      <c r="D237" s="17">
        <v>0</v>
      </c>
    </row>
    <row r="238" spans="1:4" x14ac:dyDescent="0.3">
      <c r="A238" s="17" t="s">
        <v>224</v>
      </c>
      <c r="B238" s="17" t="str">
        <f t="shared" si="3"/>
        <v>UASEND_BNFT_PHASE</v>
      </c>
      <c r="C238" s="17" t="s">
        <v>158</v>
      </c>
      <c r="D238" s="17">
        <v>0</v>
      </c>
    </row>
    <row r="239" spans="1:4" x14ac:dyDescent="0.3">
      <c r="A239" s="17" t="s">
        <v>224</v>
      </c>
      <c r="B239" s="17" t="str">
        <f t="shared" si="3"/>
        <v>UASPRICE_EXCEPT_CD</v>
      </c>
      <c r="C239" s="17" t="s">
        <v>148</v>
      </c>
      <c r="D239" s="17">
        <v>0</v>
      </c>
    </row>
    <row r="240" spans="1:4" x14ac:dyDescent="0.3">
      <c r="A240" s="17" t="s">
        <v>224</v>
      </c>
      <c r="B240" s="17" t="str">
        <f t="shared" si="3"/>
        <v>UASABOVE_OOP_THRHLD</v>
      </c>
      <c r="C240" s="17" t="s">
        <v>67</v>
      </c>
      <c r="D240" s="17">
        <v>0</v>
      </c>
    </row>
    <row r="241" spans="1:4" x14ac:dyDescent="0.3">
      <c r="A241" s="17" t="s">
        <v>224</v>
      </c>
      <c r="B241" s="17" t="str">
        <f t="shared" si="3"/>
        <v>UASBELOW_OOP_THRHLD</v>
      </c>
      <c r="C241" s="17" t="s">
        <v>66</v>
      </c>
      <c r="D241" s="17">
        <v>0</v>
      </c>
    </row>
    <row r="242" spans="1:4" x14ac:dyDescent="0.3">
      <c r="A242" s="17" t="s">
        <v>224</v>
      </c>
      <c r="B242" s="17" t="str">
        <f t="shared" si="3"/>
        <v>UASLICS_AMT</v>
      </c>
      <c r="C242" s="17" t="s">
        <v>69</v>
      </c>
      <c r="D242" s="17">
        <v>0</v>
      </c>
    </row>
    <row r="243" spans="1:4" x14ac:dyDescent="0.3">
      <c r="A243" s="17" t="s">
        <v>224</v>
      </c>
      <c r="B243" s="17" t="str">
        <f t="shared" si="3"/>
        <v>UASCVRD_D_PLAN_PAID</v>
      </c>
      <c r="C243" s="17" t="s">
        <v>151</v>
      </c>
      <c r="D243" s="17">
        <v>0</v>
      </c>
    </row>
    <row r="244" spans="1:4" x14ac:dyDescent="0.3">
      <c r="A244" s="17" t="s">
        <v>224</v>
      </c>
      <c r="B244" s="17" t="str">
        <f t="shared" si="3"/>
        <v>UASNON_CVRD_PLAN_PAID</v>
      </c>
      <c r="C244" s="17" t="s">
        <v>72</v>
      </c>
      <c r="D244" s="17">
        <v>0</v>
      </c>
    </row>
    <row r="245" spans="1:4" x14ac:dyDescent="0.3">
      <c r="A245" s="17" t="s">
        <v>224</v>
      </c>
      <c r="B245" s="17" t="str">
        <f t="shared" si="3"/>
        <v>UASADJ_DEL_CD</v>
      </c>
      <c r="C245" s="17" t="s">
        <v>63</v>
      </c>
      <c r="D245" s="17" t="s">
        <v>27</v>
      </c>
    </row>
    <row r="246" spans="1:4" x14ac:dyDescent="0.3">
      <c r="A246" s="17" t="s">
        <v>224</v>
      </c>
      <c r="B246" s="17" t="str">
        <f t="shared" si="3"/>
        <v>UASOTHER_TROOP_AMT</v>
      </c>
      <c r="C246" s="17" t="s">
        <v>68</v>
      </c>
      <c r="D246" s="17">
        <v>0</v>
      </c>
    </row>
    <row r="247" spans="1:4" x14ac:dyDescent="0.3">
      <c r="A247" s="17" t="s">
        <v>224</v>
      </c>
      <c r="B247" s="17" t="str">
        <f t="shared" si="3"/>
        <v>UASPLRO_AMT</v>
      </c>
      <c r="C247" s="17" t="s">
        <v>70</v>
      </c>
      <c r="D247" s="17">
        <v>0</v>
      </c>
    </row>
    <row r="248" spans="1:4" x14ac:dyDescent="0.3">
      <c r="A248" s="17" t="s">
        <v>224</v>
      </c>
      <c r="B248" s="17" t="str">
        <f t="shared" si="3"/>
        <v>UASTOTAL_CST</v>
      </c>
      <c r="C248" s="17" t="s">
        <v>54</v>
      </c>
      <c r="D248" s="17">
        <v>0</v>
      </c>
    </row>
    <row r="249" spans="1:4" x14ac:dyDescent="0.3">
      <c r="A249" s="17" t="s">
        <v>224</v>
      </c>
      <c r="B249" s="17" t="str">
        <f t="shared" si="3"/>
        <v>UASSRVC_PROVIDER_ID</v>
      </c>
      <c r="C249" s="17" t="s">
        <v>75</v>
      </c>
      <c r="D249" s="17">
        <v>0</v>
      </c>
    </row>
    <row r="250" spans="1:4" x14ac:dyDescent="0.3">
      <c r="A250" s="17" t="s">
        <v>224</v>
      </c>
      <c r="B250" s="17" t="str">
        <f t="shared" si="3"/>
        <v>UASSRVC_PROVIDER_ID_QUAL</v>
      </c>
      <c r="C250" s="17" t="s">
        <v>76</v>
      </c>
      <c r="D250" s="17" t="s">
        <v>27</v>
      </c>
    </row>
    <row r="251" spans="1:4" x14ac:dyDescent="0.3">
      <c r="A251" s="17" t="s">
        <v>224</v>
      </c>
      <c r="B251" s="17" t="str">
        <f t="shared" si="3"/>
        <v>UASCLM_PHRMCY_SRVC_TYPE_CD</v>
      </c>
      <c r="C251" s="17" t="s">
        <v>92</v>
      </c>
      <c r="D251" s="17">
        <v>0</v>
      </c>
    </row>
    <row r="252" spans="1:4" x14ac:dyDescent="0.3">
      <c r="A252" s="17" t="s">
        <v>224</v>
      </c>
      <c r="B252" s="17" t="str">
        <f t="shared" si="3"/>
        <v>UASCONTRACT_NUM</v>
      </c>
      <c r="C252" s="17" t="s">
        <v>79</v>
      </c>
      <c r="D252" s="17">
        <v>0</v>
      </c>
    </row>
    <row r="253" spans="1:4" x14ac:dyDescent="0.3">
      <c r="A253" s="17" t="s">
        <v>224</v>
      </c>
      <c r="B253" s="17" t="str">
        <f t="shared" si="3"/>
        <v>UASPBP_ID</v>
      </c>
      <c r="C253" s="17" t="s">
        <v>80</v>
      </c>
      <c r="D253" s="17">
        <v>0</v>
      </c>
    </row>
    <row r="254" spans="1:4" x14ac:dyDescent="0.3">
      <c r="A254" s="17" t="s">
        <v>224</v>
      </c>
      <c r="B254" s="17" t="str">
        <f t="shared" si="3"/>
        <v>UASPRESCRIBER_ID</v>
      </c>
      <c r="C254" s="17" t="s">
        <v>77</v>
      </c>
      <c r="D254" s="17">
        <v>0</v>
      </c>
    </row>
    <row r="255" spans="1:4" x14ac:dyDescent="0.3">
      <c r="A255" s="17" t="s">
        <v>224</v>
      </c>
      <c r="B255" s="17" t="str">
        <f t="shared" si="3"/>
        <v>UASPRESCRIBER_ID_QUAL</v>
      </c>
      <c r="C255" s="17" t="s">
        <v>78</v>
      </c>
      <c r="D255" s="17">
        <v>0</v>
      </c>
    </row>
    <row r="256" spans="1:4" x14ac:dyDescent="0.3">
      <c r="A256" s="17" t="s">
        <v>686</v>
      </c>
      <c r="B256" s="17" t="str">
        <f t="shared" si="3"/>
        <v>OtherCLM_PTNT_RSDNC_CD</v>
      </c>
      <c r="C256" s="17" t="s">
        <v>55</v>
      </c>
      <c r="D256" s="17">
        <v>0</v>
      </c>
    </row>
    <row r="257" spans="1:4" x14ac:dyDescent="0.3">
      <c r="A257" s="17" t="s">
        <v>686</v>
      </c>
      <c r="B257" s="17" t="str">
        <f t="shared" si="3"/>
        <v>OtherRX_DOS_DT</v>
      </c>
      <c r="C257" s="17" t="s">
        <v>51</v>
      </c>
      <c r="D257" s="17">
        <v>0</v>
      </c>
    </row>
    <row r="258" spans="1:4" x14ac:dyDescent="0.3">
      <c r="A258" s="17" t="s">
        <v>686</v>
      </c>
      <c r="B258" s="17" t="str">
        <f t="shared" si="3"/>
        <v>OtherQUANTITY_DISPENSED</v>
      </c>
      <c r="C258" s="17" t="s">
        <v>144</v>
      </c>
      <c r="D258" s="17">
        <v>0</v>
      </c>
    </row>
    <row r="259" spans="1:4" x14ac:dyDescent="0.3">
      <c r="A259" s="17" t="s">
        <v>686</v>
      </c>
      <c r="B259" s="17" t="str">
        <f t="shared" si="3"/>
        <v>OtherPROD_SERVICE_ID</v>
      </c>
      <c r="C259" s="17" t="s">
        <v>146</v>
      </c>
      <c r="D259" s="17">
        <v>0</v>
      </c>
    </row>
    <row r="260" spans="1:4" x14ac:dyDescent="0.3">
      <c r="A260" s="17" t="s">
        <v>686</v>
      </c>
      <c r="B260" s="17" t="str">
        <f t="shared" ref="B260:B291" si="4">CONCATENATE(A260,C260)</f>
        <v>OtherDAYS_SUPPLY</v>
      </c>
      <c r="C260" s="17" t="s">
        <v>52</v>
      </c>
      <c r="D260" s="17">
        <v>0</v>
      </c>
    </row>
    <row r="261" spans="1:4" x14ac:dyDescent="0.3">
      <c r="A261" s="17" t="s">
        <v>686</v>
      </c>
      <c r="B261" s="17" t="str">
        <f t="shared" si="4"/>
        <v>OtherCLM_LTC_DSPNSNG_MTHD_CD</v>
      </c>
      <c r="C261" s="17" t="s">
        <v>56</v>
      </c>
      <c r="D261" s="17">
        <v>0</v>
      </c>
    </row>
    <row r="262" spans="1:4" x14ac:dyDescent="0.3">
      <c r="A262" s="17" t="s">
        <v>686</v>
      </c>
      <c r="B262" s="17" t="str">
        <f t="shared" si="4"/>
        <v>OtherBRND_GNRC_CD</v>
      </c>
      <c r="C262" s="17" t="s">
        <v>58</v>
      </c>
      <c r="D262" s="17">
        <v>0</v>
      </c>
    </row>
    <row r="263" spans="1:4" x14ac:dyDescent="0.3">
      <c r="A263" s="17" t="s">
        <v>686</v>
      </c>
      <c r="B263" s="17" t="str">
        <f t="shared" si="4"/>
        <v>OtherCOMPUND_CD</v>
      </c>
      <c r="C263" s="17" t="s">
        <v>59</v>
      </c>
      <c r="D263" s="17">
        <v>0</v>
      </c>
    </row>
    <row r="264" spans="1:4" x14ac:dyDescent="0.3">
      <c r="A264" s="17" t="s">
        <v>686</v>
      </c>
      <c r="B264" s="17" t="str">
        <f t="shared" si="4"/>
        <v>OtherDAW_CD</v>
      </c>
      <c r="C264" s="17" t="s">
        <v>60</v>
      </c>
      <c r="D264" s="17">
        <v>0</v>
      </c>
    </row>
    <row r="265" spans="1:4" x14ac:dyDescent="0.3">
      <c r="A265" s="17" t="s">
        <v>686</v>
      </c>
      <c r="B265" s="17" t="str">
        <f t="shared" si="4"/>
        <v>OtherDISP_STAT_CD</v>
      </c>
      <c r="C265" s="17" t="s">
        <v>61</v>
      </c>
      <c r="D265" s="17">
        <v>0</v>
      </c>
    </row>
    <row r="266" spans="1:4" x14ac:dyDescent="0.3">
      <c r="A266" s="17" t="s">
        <v>686</v>
      </c>
      <c r="B266" s="17" t="str">
        <f t="shared" si="4"/>
        <v>OtherFILL_NUM</v>
      </c>
      <c r="C266" s="17" t="s">
        <v>62</v>
      </c>
      <c r="D266" s="17">
        <v>0</v>
      </c>
    </row>
    <row r="267" spans="1:4" x14ac:dyDescent="0.3">
      <c r="A267" s="17" t="s">
        <v>686</v>
      </c>
      <c r="B267" s="17" t="str">
        <f t="shared" si="4"/>
        <v>OtherPRESC_ORIGIN</v>
      </c>
      <c r="C267" s="17" t="s">
        <v>65</v>
      </c>
      <c r="D267" s="17">
        <v>0</v>
      </c>
    </row>
    <row r="268" spans="1:4" x14ac:dyDescent="0.3">
      <c r="A268" s="17" t="s">
        <v>686</v>
      </c>
      <c r="B268" s="17" t="str">
        <f t="shared" si="4"/>
        <v>OtherNON_STAND_FMT_CD</v>
      </c>
      <c r="C268" s="17" t="s">
        <v>64</v>
      </c>
      <c r="D268" s="17">
        <v>0</v>
      </c>
    </row>
    <row r="269" spans="1:4" x14ac:dyDescent="0.3">
      <c r="A269" s="17" t="s">
        <v>686</v>
      </c>
      <c r="B269" s="17" t="str">
        <f t="shared" si="4"/>
        <v>OtherPATIENT_PAY_AMT</v>
      </c>
      <c r="C269" s="17" t="s">
        <v>53</v>
      </c>
      <c r="D269" s="17">
        <v>0</v>
      </c>
    </row>
    <row r="270" spans="1:4" x14ac:dyDescent="0.3">
      <c r="A270" s="17" t="s">
        <v>686</v>
      </c>
      <c r="B270" s="17" t="str">
        <f t="shared" si="4"/>
        <v>OtherCOVERAGE_STAT_CD</v>
      </c>
      <c r="C270" s="17" t="s">
        <v>57</v>
      </c>
      <c r="D270" s="17">
        <v>0</v>
      </c>
    </row>
    <row r="271" spans="1:4" x14ac:dyDescent="0.3">
      <c r="A271" s="17" t="s">
        <v>686</v>
      </c>
      <c r="B271" s="17" t="str">
        <f t="shared" si="4"/>
        <v>OtherGAP_DSCNT_AMT</v>
      </c>
      <c r="C271" s="17" t="s">
        <v>73</v>
      </c>
      <c r="D271" s="17">
        <v>0</v>
      </c>
    </row>
    <row r="272" spans="1:4" x14ac:dyDescent="0.3">
      <c r="A272" s="17" t="s">
        <v>686</v>
      </c>
      <c r="B272" s="17" t="str">
        <f t="shared" si="4"/>
        <v>OtherCOVERAGE_CD</v>
      </c>
      <c r="C272" s="17" t="s">
        <v>74</v>
      </c>
      <c r="D272" s="17">
        <v>0</v>
      </c>
    </row>
    <row r="273" spans="1:4" x14ac:dyDescent="0.3">
      <c r="A273" s="17" t="s">
        <v>686</v>
      </c>
      <c r="B273" s="17" t="str">
        <f t="shared" si="4"/>
        <v>OtherBGN_BNFT_PHASE</v>
      </c>
      <c r="C273" s="17" t="s">
        <v>157</v>
      </c>
      <c r="D273" s="17">
        <v>0</v>
      </c>
    </row>
    <row r="274" spans="1:4" x14ac:dyDescent="0.3">
      <c r="A274" s="17" t="s">
        <v>686</v>
      </c>
      <c r="B274" s="17" t="str">
        <f t="shared" si="4"/>
        <v>OtherEND_BNFT_PHASE</v>
      </c>
      <c r="C274" s="17" t="s">
        <v>158</v>
      </c>
      <c r="D274" s="17">
        <v>0</v>
      </c>
    </row>
    <row r="275" spans="1:4" x14ac:dyDescent="0.3">
      <c r="A275" s="17" t="s">
        <v>686</v>
      </c>
      <c r="B275" s="17" t="str">
        <f t="shared" si="4"/>
        <v>OtherPRICE_EXCEPT_CD</v>
      </c>
      <c r="C275" s="17" t="s">
        <v>148</v>
      </c>
      <c r="D275" s="17">
        <v>0</v>
      </c>
    </row>
    <row r="276" spans="1:4" x14ac:dyDescent="0.3">
      <c r="A276" s="17" t="s">
        <v>686</v>
      </c>
      <c r="B276" s="17" t="str">
        <f t="shared" si="4"/>
        <v>OtherABOVE_OOP_THRHLD</v>
      </c>
      <c r="C276" s="17" t="s">
        <v>67</v>
      </c>
      <c r="D276" s="17">
        <v>0</v>
      </c>
    </row>
    <row r="277" spans="1:4" x14ac:dyDescent="0.3">
      <c r="A277" s="17" t="s">
        <v>686</v>
      </c>
      <c r="B277" s="17" t="str">
        <f t="shared" si="4"/>
        <v>OtherBELOW_OOP_THRHLD</v>
      </c>
      <c r="C277" s="17" t="s">
        <v>66</v>
      </c>
      <c r="D277" s="17">
        <v>0</v>
      </c>
    </row>
    <row r="278" spans="1:4" x14ac:dyDescent="0.3">
      <c r="A278" s="17" t="s">
        <v>686</v>
      </c>
      <c r="B278" s="17" t="str">
        <f t="shared" si="4"/>
        <v>OtherLICS_AMT</v>
      </c>
      <c r="C278" s="17" t="s">
        <v>69</v>
      </c>
      <c r="D278" s="17">
        <v>0</v>
      </c>
    </row>
    <row r="279" spans="1:4" x14ac:dyDescent="0.3">
      <c r="A279" s="17" t="s">
        <v>686</v>
      </c>
      <c r="B279" s="17" t="str">
        <f t="shared" si="4"/>
        <v>OtherCVRD_D_PLAN_PAID</v>
      </c>
      <c r="C279" s="17" t="s">
        <v>151</v>
      </c>
      <c r="D279" s="17">
        <v>0</v>
      </c>
    </row>
    <row r="280" spans="1:4" x14ac:dyDescent="0.3">
      <c r="A280" s="17" t="s">
        <v>686</v>
      </c>
      <c r="B280" s="17" t="str">
        <f t="shared" si="4"/>
        <v>OtherNON_CVRD_PLAN_PAID</v>
      </c>
      <c r="C280" s="17" t="s">
        <v>72</v>
      </c>
      <c r="D280" s="17">
        <v>0</v>
      </c>
    </row>
    <row r="281" spans="1:4" x14ac:dyDescent="0.3">
      <c r="A281" s="17" t="s">
        <v>686</v>
      </c>
      <c r="B281" s="17" t="str">
        <f t="shared" si="4"/>
        <v>OtherADJ_DEL_CD</v>
      </c>
      <c r="C281" s="17" t="s">
        <v>63</v>
      </c>
      <c r="D281" s="17">
        <v>0</v>
      </c>
    </row>
    <row r="282" spans="1:4" x14ac:dyDescent="0.3">
      <c r="A282" s="17" t="s">
        <v>686</v>
      </c>
      <c r="B282" s="17" t="str">
        <f t="shared" si="4"/>
        <v>OtherOTHER_TROOP_AMT</v>
      </c>
      <c r="C282" s="17" t="s">
        <v>68</v>
      </c>
      <c r="D282" s="17">
        <v>0</v>
      </c>
    </row>
    <row r="283" spans="1:4" x14ac:dyDescent="0.3">
      <c r="A283" s="17" t="s">
        <v>686</v>
      </c>
      <c r="B283" s="17" t="str">
        <f t="shared" si="4"/>
        <v>OtherPLRO_AMT</v>
      </c>
      <c r="C283" s="17" t="s">
        <v>70</v>
      </c>
      <c r="D283" s="17">
        <v>0</v>
      </c>
    </row>
    <row r="284" spans="1:4" x14ac:dyDescent="0.3">
      <c r="A284" s="17" t="s">
        <v>686</v>
      </c>
      <c r="B284" s="17" t="str">
        <f t="shared" si="4"/>
        <v>OtherTOTAL_CST</v>
      </c>
      <c r="C284" s="17" t="s">
        <v>54</v>
      </c>
      <c r="D284" s="17">
        <v>0</v>
      </c>
    </row>
    <row r="285" spans="1:4" x14ac:dyDescent="0.3">
      <c r="A285" s="17" t="s">
        <v>686</v>
      </c>
      <c r="B285" s="17" t="str">
        <f t="shared" si="4"/>
        <v>OtherSRVC_PROVIDER_ID</v>
      </c>
      <c r="C285" s="17" t="s">
        <v>75</v>
      </c>
      <c r="D285" s="17">
        <v>0</v>
      </c>
    </row>
    <row r="286" spans="1:4" x14ac:dyDescent="0.3">
      <c r="A286" s="17" t="s">
        <v>686</v>
      </c>
      <c r="B286" s="17" t="str">
        <f t="shared" si="4"/>
        <v>OtherSRVC_PROVIDER_ID_QUAL</v>
      </c>
      <c r="C286" s="17" t="s">
        <v>76</v>
      </c>
      <c r="D286" s="17">
        <v>0</v>
      </c>
    </row>
    <row r="287" spans="1:4" x14ac:dyDescent="0.3">
      <c r="A287" s="17" t="s">
        <v>686</v>
      </c>
      <c r="B287" s="17" t="str">
        <f t="shared" si="4"/>
        <v>OtherCLM_PHRMCY_SRVC_TYPE_CD</v>
      </c>
      <c r="C287" s="17" t="s">
        <v>92</v>
      </c>
      <c r="D287" s="17">
        <v>0</v>
      </c>
    </row>
    <row r="288" spans="1:4" x14ac:dyDescent="0.3">
      <c r="A288" s="17" t="s">
        <v>686</v>
      </c>
      <c r="B288" s="17" t="str">
        <f t="shared" si="4"/>
        <v>OtherCONTRACT_NUM</v>
      </c>
      <c r="C288" s="17" t="s">
        <v>79</v>
      </c>
      <c r="D288" s="17">
        <v>0</v>
      </c>
    </row>
    <row r="289" spans="1:4" x14ac:dyDescent="0.3">
      <c r="A289" s="17" t="s">
        <v>686</v>
      </c>
      <c r="B289" s="17" t="str">
        <f t="shared" si="4"/>
        <v>OtherPBP_ID</v>
      </c>
      <c r="C289" s="17" t="s">
        <v>80</v>
      </c>
      <c r="D289" s="17">
        <v>0</v>
      </c>
    </row>
    <row r="290" spans="1:4" x14ac:dyDescent="0.3">
      <c r="A290" s="17" t="s">
        <v>686</v>
      </c>
      <c r="B290" s="17" t="str">
        <f t="shared" si="4"/>
        <v>OtherPRESCRIBER_ID</v>
      </c>
      <c r="C290" s="17" t="s">
        <v>77</v>
      </c>
      <c r="D290" s="17">
        <v>0</v>
      </c>
    </row>
    <row r="291" spans="1:4" x14ac:dyDescent="0.3">
      <c r="A291" s="17" t="s">
        <v>686</v>
      </c>
      <c r="B291" s="17" t="str">
        <f t="shared" si="4"/>
        <v>OtherPRESCRIBER_ID_QUAL</v>
      </c>
      <c r="C291" s="17" t="s">
        <v>78</v>
      </c>
      <c r="D291" s="17">
        <v>0</v>
      </c>
    </row>
  </sheetData>
  <sheetProtection selectLockedCells="1" selectUnlockedCells="1"/>
  <autoFilter ref="A3:D8481" xr:uid="{00000000-0009-0000-0000-000013000000}"/>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8"/>
  <dimension ref="A1:I243"/>
  <sheetViews>
    <sheetView zoomScale="70" zoomScaleNormal="70" workbookViewId="0">
      <pane ySplit="3" topLeftCell="A4" activePane="bottomLeft" state="frozen"/>
      <selection pane="bottomLeft"/>
    </sheetView>
  </sheetViews>
  <sheetFormatPr defaultColWidth="9.109375" defaultRowHeight="17.25" x14ac:dyDescent="0.3"/>
  <cols>
    <col min="1" max="2" width="9.109375" style="6"/>
    <col min="3" max="3" width="95" style="6" bestFit="1" customWidth="1"/>
    <col min="4" max="4" width="18.6640625" style="6" customWidth="1"/>
    <col min="5" max="5" width="11.109375" style="6" bestFit="1" customWidth="1"/>
    <col min="6" max="6" width="12.109375" style="6" bestFit="1" customWidth="1"/>
    <col min="7" max="7" width="11.109375" style="6" bestFit="1" customWidth="1"/>
    <col min="8" max="8" width="9.109375" style="6"/>
    <col min="9" max="9" width="13.109375" style="6" bestFit="1" customWidth="1"/>
    <col min="10" max="16384" width="9.109375" style="6"/>
  </cols>
  <sheetData>
    <row r="1" spans="1:9" ht="21" x14ac:dyDescent="0.3">
      <c r="A1" s="3" t="s">
        <v>28</v>
      </c>
    </row>
    <row r="2" spans="1:9" ht="21" x14ac:dyDescent="0.3">
      <c r="A2" s="3" t="s">
        <v>490</v>
      </c>
    </row>
    <row r="3" spans="1:9" x14ac:dyDescent="0.3">
      <c r="A3" s="12" t="s">
        <v>209</v>
      </c>
      <c r="B3" s="12" t="s">
        <v>210</v>
      </c>
      <c r="C3" s="12" t="s">
        <v>126</v>
      </c>
      <c r="D3" s="12" t="s">
        <v>211</v>
      </c>
      <c r="E3" s="12" t="s">
        <v>26</v>
      </c>
      <c r="F3" s="12" t="s">
        <v>97</v>
      </c>
      <c r="G3" s="12" t="s">
        <v>98</v>
      </c>
      <c r="I3" s="6" t="s">
        <v>206</v>
      </c>
    </row>
    <row r="4" spans="1:9" x14ac:dyDescent="0.3">
      <c r="A4" s="6" t="s">
        <v>23</v>
      </c>
      <c r="B4" s="6" t="s">
        <v>108</v>
      </c>
      <c r="C4" s="6" t="s">
        <v>127</v>
      </c>
      <c r="D4" s="6" t="str">
        <f>CONCATENATE(B4,C4)</f>
        <v>HRSSocial Security Number</v>
      </c>
      <c r="E4" s="19" t="s">
        <v>36</v>
      </c>
      <c r="F4" s="19" t="s">
        <v>36</v>
      </c>
      <c r="G4" s="19" t="s">
        <v>36</v>
      </c>
      <c r="I4" s="6" t="s">
        <v>108</v>
      </c>
    </row>
    <row r="5" spans="1:9" x14ac:dyDescent="0.3">
      <c r="A5" s="6" t="s">
        <v>23</v>
      </c>
      <c r="B5" s="6" t="s">
        <v>108</v>
      </c>
      <c r="C5" s="6" t="s">
        <v>128</v>
      </c>
      <c r="D5" s="6" t="str">
        <f t="shared" ref="D5:D68" si="0">CONCATENATE(B5,C5)</f>
        <v>HRSMedicare or Medicaid Beneficiary Number</v>
      </c>
      <c r="E5" s="19" t="s">
        <v>36</v>
      </c>
      <c r="F5" s="19" t="s">
        <v>36</v>
      </c>
      <c r="G5" s="19" t="s">
        <v>36</v>
      </c>
      <c r="I5" s="6" t="s">
        <v>39</v>
      </c>
    </row>
    <row r="6" spans="1:9" x14ac:dyDescent="0.3">
      <c r="A6" s="6" t="s">
        <v>23</v>
      </c>
      <c r="B6" s="6" t="s">
        <v>108</v>
      </c>
      <c r="C6" s="6" t="s">
        <v>129</v>
      </c>
      <c r="D6" s="6" t="str">
        <f t="shared" si="0"/>
        <v>HRSSurname</v>
      </c>
      <c r="E6" s="19" t="s">
        <v>36</v>
      </c>
      <c r="F6" s="19" t="s">
        <v>36</v>
      </c>
      <c r="G6" s="19" t="s">
        <v>36</v>
      </c>
      <c r="I6" s="6" t="s">
        <v>112</v>
      </c>
    </row>
    <row r="7" spans="1:9" x14ac:dyDescent="0.3">
      <c r="A7" s="6" t="s">
        <v>23</v>
      </c>
      <c r="B7" s="6" t="s">
        <v>108</v>
      </c>
      <c r="C7" s="6" t="s">
        <v>130</v>
      </c>
      <c r="D7" s="6" t="str">
        <f t="shared" si="0"/>
        <v>HRSBeneficiary Identification Number (BID) [Random]</v>
      </c>
      <c r="E7" s="19" t="s">
        <v>34</v>
      </c>
      <c r="F7" s="19" t="s">
        <v>34</v>
      </c>
      <c r="G7" s="19" t="s">
        <v>34</v>
      </c>
      <c r="I7" s="6" t="s">
        <v>212</v>
      </c>
    </row>
    <row r="8" spans="1:9" x14ac:dyDescent="0.3">
      <c r="A8" s="6" t="s">
        <v>23</v>
      </c>
      <c r="B8" s="6" t="s">
        <v>108</v>
      </c>
      <c r="C8" s="6" t="s">
        <v>207</v>
      </c>
      <c r="D8" s="6" t="str">
        <f t="shared" si="0"/>
        <v>HRSDate of Birth</v>
      </c>
      <c r="E8" s="20" t="s">
        <v>131</v>
      </c>
      <c r="F8" s="20" t="s">
        <v>131</v>
      </c>
      <c r="G8" s="20" t="s">
        <v>131</v>
      </c>
      <c r="I8" s="6" t="s">
        <v>213</v>
      </c>
    </row>
    <row r="9" spans="1:9" x14ac:dyDescent="0.3">
      <c r="A9" s="6" t="s">
        <v>23</v>
      </c>
      <c r="B9" s="6" t="s">
        <v>108</v>
      </c>
      <c r="C9" s="6" t="s">
        <v>208</v>
      </c>
      <c r="D9" s="6" t="str">
        <f t="shared" si="0"/>
        <v>HRSGender/Race</v>
      </c>
      <c r="E9" s="20" t="s">
        <v>131</v>
      </c>
      <c r="F9" s="20" t="s">
        <v>131</v>
      </c>
      <c r="G9" s="20" t="s">
        <v>131</v>
      </c>
      <c r="I9" s="6" t="s">
        <v>214</v>
      </c>
    </row>
    <row r="10" spans="1:9" x14ac:dyDescent="0.3">
      <c r="A10" s="6" t="s">
        <v>23</v>
      </c>
      <c r="B10" s="6" t="s">
        <v>108</v>
      </c>
      <c r="C10" s="6" t="s">
        <v>132</v>
      </c>
      <c r="D10" s="6" t="str">
        <f t="shared" si="0"/>
        <v>HRSExact Dates of Service</v>
      </c>
      <c r="E10" s="20" t="s">
        <v>131</v>
      </c>
      <c r="F10" s="20" t="s">
        <v>131</v>
      </c>
      <c r="G10" s="20" t="s">
        <v>131</v>
      </c>
      <c r="I10" s="6" t="s">
        <v>215</v>
      </c>
    </row>
    <row r="11" spans="1:9" x14ac:dyDescent="0.3">
      <c r="A11" s="6" t="s">
        <v>23</v>
      </c>
      <c r="B11" s="6" t="s">
        <v>108</v>
      </c>
      <c r="C11" s="6" t="s">
        <v>133</v>
      </c>
      <c r="D11" s="6" t="str">
        <f t="shared" si="0"/>
        <v>HRSBeneficiary State Code/County Code/Zip Code</v>
      </c>
      <c r="E11" s="20" t="s">
        <v>35</v>
      </c>
      <c r="F11" s="20" t="s">
        <v>131</v>
      </c>
      <c r="G11" s="20" t="s">
        <v>131</v>
      </c>
      <c r="I11" s="6" t="s">
        <v>216</v>
      </c>
    </row>
    <row r="12" spans="1:9" x14ac:dyDescent="0.3">
      <c r="A12" s="6" t="s">
        <v>23</v>
      </c>
      <c r="B12" s="6" t="s">
        <v>108</v>
      </c>
      <c r="C12" s="6" t="s">
        <v>134</v>
      </c>
      <c r="D12" s="6" t="str">
        <f t="shared" si="0"/>
        <v>HRSProvider Characteristics (e.g., National Provider Identifiers (NPIs), Unique Provider Identification Numbers (UPINs))</v>
      </c>
      <c r="E12" s="19" t="s">
        <v>34</v>
      </c>
      <c r="F12" s="19" t="s">
        <v>34</v>
      </c>
      <c r="G12" s="20" t="s">
        <v>131</v>
      </c>
      <c r="I12" s="6" t="s">
        <v>217</v>
      </c>
    </row>
    <row r="13" spans="1:9" x14ac:dyDescent="0.3">
      <c r="A13" s="6" t="s">
        <v>23</v>
      </c>
      <c r="B13" s="6" t="s">
        <v>108</v>
      </c>
      <c r="C13" s="6" t="s">
        <v>135</v>
      </c>
      <c r="D13" s="6" t="str">
        <f t="shared" si="0"/>
        <v>HRSCMS Certification Number (CCN)</v>
      </c>
      <c r="E13" s="19" t="s">
        <v>34</v>
      </c>
      <c r="F13" s="19" t="s">
        <v>34</v>
      </c>
      <c r="G13" s="20" t="s">
        <v>131</v>
      </c>
      <c r="I13" s="6" t="s">
        <v>33</v>
      </c>
    </row>
    <row r="14" spans="1:9" x14ac:dyDescent="0.3">
      <c r="A14" s="6" t="s">
        <v>23</v>
      </c>
      <c r="B14" s="6" t="s">
        <v>108</v>
      </c>
      <c r="C14" s="6" t="s">
        <v>136</v>
      </c>
      <c r="D14" s="6" t="str">
        <f t="shared" si="0"/>
        <v>HRSHospitals/Facilities</v>
      </c>
      <c r="E14" s="19" t="s">
        <v>34</v>
      </c>
      <c r="F14" s="19" t="s">
        <v>34</v>
      </c>
      <c r="G14" s="20" t="s">
        <v>131</v>
      </c>
      <c r="I14" s="6" t="s">
        <v>218</v>
      </c>
    </row>
    <row r="15" spans="1:9" x14ac:dyDescent="0.3">
      <c r="A15" s="6" t="s">
        <v>23</v>
      </c>
      <c r="B15" s="6" t="s">
        <v>108</v>
      </c>
      <c r="C15" s="6" t="s">
        <v>137</v>
      </c>
      <c r="D15" s="6" t="str">
        <f t="shared" si="0"/>
        <v>HRSPart C/D Health Plans</v>
      </c>
      <c r="E15" s="19" t="s">
        <v>110</v>
      </c>
      <c r="F15" s="19" t="s">
        <v>110</v>
      </c>
      <c r="G15" s="20" t="s">
        <v>131</v>
      </c>
      <c r="I15" s="6" t="s">
        <v>219</v>
      </c>
    </row>
    <row r="16" spans="1:9" x14ac:dyDescent="0.3">
      <c r="A16" s="6" t="s">
        <v>25</v>
      </c>
      <c r="B16" s="6" t="s">
        <v>39</v>
      </c>
      <c r="C16" s="6" t="s">
        <v>127</v>
      </c>
      <c r="D16" s="6" t="str">
        <f t="shared" si="0"/>
        <v>PSADSocial Security Number</v>
      </c>
      <c r="E16" s="19" t="s">
        <v>36</v>
      </c>
      <c r="F16" s="19" t="s">
        <v>30</v>
      </c>
      <c r="G16" s="19" t="s">
        <v>30</v>
      </c>
      <c r="I16" s="6" t="s">
        <v>32</v>
      </c>
    </row>
    <row r="17" spans="1:9" x14ac:dyDescent="0.3">
      <c r="A17" s="6" t="s">
        <v>25</v>
      </c>
      <c r="B17" s="6" t="s">
        <v>39</v>
      </c>
      <c r="C17" s="6" t="s">
        <v>128</v>
      </c>
      <c r="D17" s="6" t="str">
        <f t="shared" si="0"/>
        <v>PSADMedicare or Medicaid Beneficiary Number</v>
      </c>
      <c r="E17" s="19" t="s">
        <v>36</v>
      </c>
      <c r="F17" s="19" t="s">
        <v>30</v>
      </c>
      <c r="G17" s="19" t="s">
        <v>30</v>
      </c>
      <c r="I17" s="6" t="s">
        <v>220</v>
      </c>
    </row>
    <row r="18" spans="1:9" x14ac:dyDescent="0.3">
      <c r="A18" s="6" t="s">
        <v>25</v>
      </c>
      <c r="B18" s="6" t="s">
        <v>39</v>
      </c>
      <c r="C18" s="6" t="s">
        <v>129</v>
      </c>
      <c r="D18" s="6" t="str">
        <f t="shared" si="0"/>
        <v>PSADSurname</v>
      </c>
      <c r="E18" s="19" t="s">
        <v>36</v>
      </c>
      <c r="F18" s="19" t="s">
        <v>30</v>
      </c>
      <c r="G18" s="19" t="s">
        <v>30</v>
      </c>
      <c r="I18" s="6" t="s">
        <v>221</v>
      </c>
    </row>
    <row r="19" spans="1:9" x14ac:dyDescent="0.3">
      <c r="A19" s="6" t="s">
        <v>25</v>
      </c>
      <c r="B19" s="6" t="s">
        <v>39</v>
      </c>
      <c r="C19" s="6" t="s">
        <v>130</v>
      </c>
      <c r="D19" s="6" t="str">
        <f t="shared" si="0"/>
        <v>PSADBeneficiary Identification Number (BID) [Random]</v>
      </c>
      <c r="E19" s="19" t="s">
        <v>34</v>
      </c>
      <c r="F19" s="19" t="s">
        <v>30</v>
      </c>
      <c r="G19" s="19" t="s">
        <v>30</v>
      </c>
      <c r="I19" s="6" t="s">
        <v>222</v>
      </c>
    </row>
    <row r="20" spans="1:9" x14ac:dyDescent="0.3">
      <c r="A20" s="6" t="s">
        <v>25</v>
      </c>
      <c r="B20" s="6" t="s">
        <v>39</v>
      </c>
      <c r="C20" s="6" t="s">
        <v>207</v>
      </c>
      <c r="D20" s="6" t="str">
        <f t="shared" si="0"/>
        <v>PSADDate of Birth</v>
      </c>
      <c r="E20" s="20" t="s">
        <v>131</v>
      </c>
      <c r="F20" s="19" t="s">
        <v>30</v>
      </c>
      <c r="G20" s="19" t="s">
        <v>30</v>
      </c>
      <c r="I20" s="6" t="s">
        <v>223</v>
      </c>
    </row>
    <row r="21" spans="1:9" x14ac:dyDescent="0.3">
      <c r="A21" s="6" t="s">
        <v>25</v>
      </c>
      <c r="B21" s="6" t="s">
        <v>39</v>
      </c>
      <c r="C21" s="6" t="s">
        <v>208</v>
      </c>
      <c r="D21" s="6" t="str">
        <f t="shared" si="0"/>
        <v>PSADGender/Race</v>
      </c>
      <c r="E21" s="20" t="s">
        <v>131</v>
      </c>
      <c r="F21" s="19" t="s">
        <v>30</v>
      </c>
      <c r="G21" s="19" t="s">
        <v>30</v>
      </c>
      <c r="I21" s="6" t="s">
        <v>224</v>
      </c>
    </row>
    <row r="22" spans="1:9" x14ac:dyDescent="0.3">
      <c r="A22" s="6" t="s">
        <v>25</v>
      </c>
      <c r="B22" s="6" t="s">
        <v>39</v>
      </c>
      <c r="C22" s="6" t="s">
        <v>132</v>
      </c>
      <c r="D22" s="6" t="str">
        <f t="shared" si="0"/>
        <v>PSADExact Dates of Service</v>
      </c>
      <c r="E22" s="20" t="s">
        <v>131</v>
      </c>
      <c r="F22" s="19" t="s">
        <v>30</v>
      </c>
      <c r="G22" s="19" t="s">
        <v>30</v>
      </c>
      <c r="I22" s="6" t="s">
        <v>225</v>
      </c>
    </row>
    <row r="23" spans="1:9" x14ac:dyDescent="0.3">
      <c r="A23" s="6" t="s">
        <v>25</v>
      </c>
      <c r="B23" s="6" t="s">
        <v>39</v>
      </c>
      <c r="C23" s="6" t="s">
        <v>133</v>
      </c>
      <c r="D23" s="6" t="str">
        <f t="shared" si="0"/>
        <v>PSADBeneficiary State Code/County Code/Zip Code</v>
      </c>
      <c r="E23" s="20" t="s">
        <v>35</v>
      </c>
      <c r="F23" s="19" t="s">
        <v>30</v>
      </c>
      <c r="G23" s="19" t="s">
        <v>30</v>
      </c>
    </row>
    <row r="24" spans="1:9" x14ac:dyDescent="0.3">
      <c r="A24" s="6" t="s">
        <v>25</v>
      </c>
      <c r="B24" s="6" t="s">
        <v>39</v>
      </c>
      <c r="C24" s="6" t="s">
        <v>134</v>
      </c>
      <c r="D24" s="6" t="str">
        <f t="shared" si="0"/>
        <v>PSADProvider Characteristics (e.g., National Provider Identifiers (NPIs), Unique Provider Identification Numbers (UPINs))</v>
      </c>
      <c r="E24" s="19" t="s">
        <v>34</v>
      </c>
      <c r="F24" s="19" t="s">
        <v>30</v>
      </c>
      <c r="G24" s="19" t="s">
        <v>30</v>
      </c>
    </row>
    <row r="25" spans="1:9" x14ac:dyDescent="0.3">
      <c r="A25" s="6" t="s">
        <v>25</v>
      </c>
      <c r="B25" s="6" t="s">
        <v>39</v>
      </c>
      <c r="C25" s="6" t="s">
        <v>135</v>
      </c>
      <c r="D25" s="6" t="str">
        <f t="shared" si="0"/>
        <v>PSADCMS Certification Number (CCN)</v>
      </c>
      <c r="E25" s="19" t="s">
        <v>34</v>
      </c>
      <c r="F25" s="19" t="s">
        <v>30</v>
      </c>
      <c r="G25" s="19" t="s">
        <v>30</v>
      </c>
    </row>
    <row r="26" spans="1:9" x14ac:dyDescent="0.3">
      <c r="A26" s="6" t="s">
        <v>25</v>
      </c>
      <c r="B26" s="6" t="s">
        <v>39</v>
      </c>
      <c r="C26" s="6" t="s">
        <v>136</v>
      </c>
      <c r="D26" s="6" t="str">
        <f t="shared" si="0"/>
        <v>PSADHospitals/Facilities</v>
      </c>
      <c r="E26" s="19" t="s">
        <v>34</v>
      </c>
      <c r="F26" s="19" t="s">
        <v>30</v>
      </c>
      <c r="G26" s="19" t="s">
        <v>30</v>
      </c>
    </row>
    <row r="27" spans="1:9" x14ac:dyDescent="0.3">
      <c r="A27" s="6" t="s">
        <v>25</v>
      </c>
      <c r="B27" s="6" t="s">
        <v>39</v>
      </c>
      <c r="C27" s="6" t="s">
        <v>137</v>
      </c>
      <c r="D27" s="6" t="str">
        <f t="shared" si="0"/>
        <v>PSADPart C/D Health Plans</v>
      </c>
      <c r="E27" s="19" t="s">
        <v>110</v>
      </c>
      <c r="F27" s="19" t="s">
        <v>30</v>
      </c>
      <c r="G27" s="19" t="s">
        <v>30</v>
      </c>
    </row>
    <row r="28" spans="1:9" x14ac:dyDescent="0.3">
      <c r="A28" s="6" t="s">
        <v>24</v>
      </c>
      <c r="B28" s="6" t="s">
        <v>112</v>
      </c>
      <c r="C28" s="6" t="s">
        <v>127</v>
      </c>
      <c r="D28" s="6" t="str">
        <f t="shared" si="0"/>
        <v>WLSSocial Security Number</v>
      </c>
      <c r="E28" s="19" t="s">
        <v>36</v>
      </c>
      <c r="F28" s="19" t="s">
        <v>36</v>
      </c>
      <c r="G28" s="19" t="s">
        <v>36</v>
      </c>
    </row>
    <row r="29" spans="1:9" x14ac:dyDescent="0.3">
      <c r="A29" s="6" t="s">
        <v>24</v>
      </c>
      <c r="B29" s="6" t="s">
        <v>112</v>
      </c>
      <c r="C29" s="6" t="s">
        <v>128</v>
      </c>
      <c r="D29" s="6" t="str">
        <f t="shared" si="0"/>
        <v>WLSMedicare or Medicaid Beneficiary Number</v>
      </c>
      <c r="E29" s="19" t="s">
        <v>36</v>
      </c>
      <c r="F29" s="19" t="s">
        <v>36</v>
      </c>
      <c r="G29" s="19" t="s">
        <v>36</v>
      </c>
    </row>
    <row r="30" spans="1:9" x14ac:dyDescent="0.3">
      <c r="A30" s="6" t="s">
        <v>24</v>
      </c>
      <c r="B30" s="6" t="s">
        <v>112</v>
      </c>
      <c r="C30" s="6" t="s">
        <v>129</v>
      </c>
      <c r="D30" s="6" t="str">
        <f t="shared" si="0"/>
        <v>WLSSurname</v>
      </c>
      <c r="E30" s="19" t="s">
        <v>36</v>
      </c>
      <c r="F30" s="19" t="s">
        <v>36</v>
      </c>
      <c r="G30" s="19" t="s">
        <v>36</v>
      </c>
    </row>
    <row r="31" spans="1:9" x14ac:dyDescent="0.3">
      <c r="A31" s="6" t="s">
        <v>24</v>
      </c>
      <c r="B31" s="6" t="s">
        <v>112</v>
      </c>
      <c r="C31" s="6" t="s">
        <v>130</v>
      </c>
      <c r="D31" s="6" t="str">
        <f t="shared" si="0"/>
        <v>WLSBeneficiary Identification Number (BID) [Random]</v>
      </c>
      <c r="E31" s="19" t="s">
        <v>34</v>
      </c>
      <c r="F31" s="19" t="s">
        <v>34</v>
      </c>
      <c r="G31" s="19" t="s">
        <v>34</v>
      </c>
    </row>
    <row r="32" spans="1:9" x14ac:dyDescent="0.3">
      <c r="A32" s="6" t="s">
        <v>24</v>
      </c>
      <c r="B32" s="6" t="s">
        <v>112</v>
      </c>
      <c r="C32" s="6" t="s">
        <v>207</v>
      </c>
      <c r="D32" s="6" t="str">
        <f t="shared" si="0"/>
        <v>WLSDate of Birth</v>
      </c>
      <c r="E32" s="20" t="s">
        <v>131</v>
      </c>
      <c r="F32" s="20" t="s">
        <v>131</v>
      </c>
      <c r="G32" s="20" t="s">
        <v>131</v>
      </c>
    </row>
    <row r="33" spans="1:7" x14ac:dyDescent="0.3">
      <c r="A33" s="6" t="s">
        <v>24</v>
      </c>
      <c r="B33" s="6" t="s">
        <v>112</v>
      </c>
      <c r="C33" s="6" t="s">
        <v>208</v>
      </c>
      <c r="D33" s="6" t="str">
        <f t="shared" si="0"/>
        <v>WLSGender/Race</v>
      </c>
      <c r="E33" s="20" t="s">
        <v>131</v>
      </c>
      <c r="F33" s="20" t="s">
        <v>131</v>
      </c>
      <c r="G33" s="20" t="s">
        <v>131</v>
      </c>
    </row>
    <row r="34" spans="1:7" x14ac:dyDescent="0.3">
      <c r="A34" s="6" t="s">
        <v>24</v>
      </c>
      <c r="B34" s="6" t="s">
        <v>112</v>
      </c>
      <c r="C34" s="6" t="s">
        <v>132</v>
      </c>
      <c r="D34" s="6" t="str">
        <f t="shared" si="0"/>
        <v>WLSExact Dates of Service</v>
      </c>
      <c r="E34" s="20" t="s">
        <v>131</v>
      </c>
      <c r="F34" s="20" t="s">
        <v>131</v>
      </c>
      <c r="G34" s="20" t="s">
        <v>131</v>
      </c>
    </row>
    <row r="35" spans="1:7" x14ac:dyDescent="0.3">
      <c r="A35" s="6" t="s">
        <v>24</v>
      </c>
      <c r="B35" s="6" t="s">
        <v>112</v>
      </c>
      <c r="C35" s="6" t="s">
        <v>133</v>
      </c>
      <c r="D35" s="6" t="str">
        <f t="shared" si="0"/>
        <v>WLSBeneficiary State Code/County Code/Zip Code</v>
      </c>
      <c r="E35" s="20" t="s">
        <v>35</v>
      </c>
      <c r="F35" s="20" t="s">
        <v>131</v>
      </c>
      <c r="G35" s="20" t="s">
        <v>131</v>
      </c>
    </row>
    <row r="36" spans="1:7" x14ac:dyDescent="0.3">
      <c r="A36" s="6" t="s">
        <v>24</v>
      </c>
      <c r="B36" s="6" t="s">
        <v>112</v>
      </c>
      <c r="C36" s="6" t="s">
        <v>134</v>
      </c>
      <c r="D36" s="6" t="str">
        <f t="shared" si="0"/>
        <v>WLSProvider Characteristics (e.g., National Provider Identifiers (NPIs), Unique Provider Identification Numbers (UPINs))</v>
      </c>
      <c r="E36" s="19" t="s">
        <v>34</v>
      </c>
      <c r="F36" s="19" t="s">
        <v>34</v>
      </c>
      <c r="G36" s="20" t="s">
        <v>131</v>
      </c>
    </row>
    <row r="37" spans="1:7" x14ac:dyDescent="0.3">
      <c r="A37" s="6" t="s">
        <v>24</v>
      </c>
      <c r="B37" s="6" t="s">
        <v>112</v>
      </c>
      <c r="C37" s="6" t="s">
        <v>135</v>
      </c>
      <c r="D37" s="6" t="str">
        <f t="shared" si="0"/>
        <v>WLSCMS Certification Number (CCN)</v>
      </c>
      <c r="E37" s="19" t="s">
        <v>34</v>
      </c>
      <c r="F37" s="19" t="s">
        <v>34</v>
      </c>
      <c r="G37" s="20" t="s">
        <v>131</v>
      </c>
    </row>
    <row r="38" spans="1:7" x14ac:dyDescent="0.3">
      <c r="A38" s="6" t="s">
        <v>24</v>
      </c>
      <c r="B38" s="6" t="s">
        <v>112</v>
      </c>
      <c r="C38" s="6" t="s">
        <v>136</v>
      </c>
      <c r="D38" s="6" t="str">
        <f t="shared" si="0"/>
        <v>WLSHospitals/Facilities</v>
      </c>
      <c r="E38" s="19" t="s">
        <v>34</v>
      </c>
      <c r="F38" s="19" t="s">
        <v>34</v>
      </c>
      <c r="G38" s="20" t="s">
        <v>131</v>
      </c>
    </row>
    <row r="39" spans="1:7" x14ac:dyDescent="0.3">
      <c r="A39" s="6" t="s">
        <v>24</v>
      </c>
      <c r="B39" s="6" t="s">
        <v>112</v>
      </c>
      <c r="C39" s="6" t="s">
        <v>137</v>
      </c>
      <c r="D39" s="6" t="str">
        <f t="shared" si="0"/>
        <v>WLSPart C/D Health Plans</v>
      </c>
      <c r="E39" s="19" t="s">
        <v>110</v>
      </c>
      <c r="F39" s="19" t="s">
        <v>110</v>
      </c>
      <c r="G39" s="20" t="s">
        <v>131</v>
      </c>
    </row>
    <row r="40" spans="1:7" x14ac:dyDescent="0.3">
      <c r="A40" s="6" t="s">
        <v>119</v>
      </c>
      <c r="B40" s="6" t="s">
        <v>212</v>
      </c>
      <c r="C40" s="6" t="s">
        <v>127</v>
      </c>
      <c r="D40" s="6" t="str">
        <f t="shared" si="0"/>
        <v>NHASSocial Security Number</v>
      </c>
      <c r="E40" s="19" t="s">
        <v>36</v>
      </c>
      <c r="F40" s="19" t="s">
        <v>30</v>
      </c>
      <c r="G40" s="19" t="s">
        <v>30</v>
      </c>
    </row>
    <row r="41" spans="1:7" x14ac:dyDescent="0.3">
      <c r="A41" s="6" t="s">
        <v>119</v>
      </c>
      <c r="B41" s="6" t="s">
        <v>212</v>
      </c>
      <c r="C41" s="6" t="s">
        <v>128</v>
      </c>
      <c r="D41" s="6" t="str">
        <f t="shared" si="0"/>
        <v>NHASMedicare or Medicaid Beneficiary Number</v>
      </c>
      <c r="E41" s="19" t="s">
        <v>36</v>
      </c>
      <c r="F41" s="19" t="s">
        <v>30</v>
      </c>
      <c r="G41" s="19" t="s">
        <v>30</v>
      </c>
    </row>
    <row r="42" spans="1:7" x14ac:dyDescent="0.3">
      <c r="A42" s="6" t="s">
        <v>119</v>
      </c>
      <c r="B42" s="6" t="s">
        <v>212</v>
      </c>
      <c r="C42" s="6" t="s">
        <v>129</v>
      </c>
      <c r="D42" s="6" t="str">
        <f t="shared" si="0"/>
        <v>NHASSurname</v>
      </c>
      <c r="E42" s="19" t="s">
        <v>36</v>
      </c>
      <c r="F42" s="19" t="s">
        <v>30</v>
      </c>
      <c r="G42" s="19" t="s">
        <v>30</v>
      </c>
    </row>
    <row r="43" spans="1:7" x14ac:dyDescent="0.3">
      <c r="A43" s="6" t="s">
        <v>119</v>
      </c>
      <c r="B43" s="6" t="s">
        <v>212</v>
      </c>
      <c r="C43" s="6" t="s">
        <v>130</v>
      </c>
      <c r="D43" s="6" t="str">
        <f t="shared" si="0"/>
        <v>NHASBeneficiary Identification Number (BID) [Random]</v>
      </c>
      <c r="E43" s="19" t="s">
        <v>34</v>
      </c>
      <c r="F43" s="19" t="s">
        <v>30</v>
      </c>
      <c r="G43" s="19" t="s">
        <v>30</v>
      </c>
    </row>
    <row r="44" spans="1:7" x14ac:dyDescent="0.3">
      <c r="A44" s="6" t="s">
        <v>119</v>
      </c>
      <c r="B44" s="6" t="s">
        <v>212</v>
      </c>
      <c r="C44" s="6" t="s">
        <v>207</v>
      </c>
      <c r="D44" s="6" t="str">
        <f t="shared" si="0"/>
        <v>NHASDate of Birth</v>
      </c>
      <c r="E44" s="20" t="s">
        <v>35</v>
      </c>
      <c r="F44" s="19" t="s">
        <v>30</v>
      </c>
      <c r="G44" s="19" t="s">
        <v>30</v>
      </c>
    </row>
    <row r="45" spans="1:7" x14ac:dyDescent="0.3">
      <c r="A45" s="6" t="s">
        <v>119</v>
      </c>
      <c r="B45" s="6" t="s">
        <v>212</v>
      </c>
      <c r="C45" s="6" t="s">
        <v>208</v>
      </c>
      <c r="D45" s="6" t="str">
        <f t="shared" si="0"/>
        <v>NHASGender/Race</v>
      </c>
      <c r="E45" s="20" t="s">
        <v>131</v>
      </c>
      <c r="F45" s="19" t="s">
        <v>30</v>
      </c>
      <c r="G45" s="19" t="s">
        <v>30</v>
      </c>
    </row>
    <row r="46" spans="1:7" x14ac:dyDescent="0.3">
      <c r="A46" s="6" t="s">
        <v>119</v>
      </c>
      <c r="B46" s="6" t="s">
        <v>212</v>
      </c>
      <c r="C46" s="6" t="s">
        <v>132</v>
      </c>
      <c r="D46" s="6" t="str">
        <f t="shared" si="0"/>
        <v>NHASExact Dates of Service</v>
      </c>
      <c r="E46" s="20" t="s">
        <v>131</v>
      </c>
      <c r="F46" s="19" t="s">
        <v>30</v>
      </c>
      <c r="G46" s="19" t="s">
        <v>30</v>
      </c>
    </row>
    <row r="47" spans="1:7" x14ac:dyDescent="0.3">
      <c r="A47" s="6" t="s">
        <v>119</v>
      </c>
      <c r="B47" s="6" t="s">
        <v>212</v>
      </c>
      <c r="C47" s="6" t="s">
        <v>133</v>
      </c>
      <c r="D47" s="6" t="str">
        <f t="shared" si="0"/>
        <v>NHASBeneficiary State Code/County Code/Zip Code</v>
      </c>
      <c r="E47" s="20" t="s">
        <v>35</v>
      </c>
      <c r="F47" s="19" t="s">
        <v>30</v>
      </c>
      <c r="G47" s="19" t="s">
        <v>30</v>
      </c>
    </row>
    <row r="48" spans="1:7" x14ac:dyDescent="0.3">
      <c r="A48" s="6" t="s">
        <v>119</v>
      </c>
      <c r="B48" s="6" t="s">
        <v>212</v>
      </c>
      <c r="C48" s="6" t="s">
        <v>134</v>
      </c>
      <c r="D48" s="6" t="str">
        <f t="shared" si="0"/>
        <v>NHASProvider Characteristics (e.g., National Provider Identifiers (NPIs), Unique Provider Identification Numbers (UPINs))</v>
      </c>
      <c r="E48" s="19" t="s">
        <v>34</v>
      </c>
      <c r="F48" s="19" t="s">
        <v>30</v>
      </c>
      <c r="G48" s="19" t="s">
        <v>30</v>
      </c>
    </row>
    <row r="49" spans="1:7" x14ac:dyDescent="0.3">
      <c r="A49" s="6" t="s">
        <v>119</v>
      </c>
      <c r="B49" s="6" t="s">
        <v>212</v>
      </c>
      <c r="C49" s="6" t="s">
        <v>135</v>
      </c>
      <c r="D49" s="6" t="str">
        <f t="shared" si="0"/>
        <v>NHASCMS Certification Number (CCN)</v>
      </c>
      <c r="E49" s="19" t="s">
        <v>34</v>
      </c>
      <c r="F49" s="19" t="s">
        <v>30</v>
      </c>
      <c r="G49" s="19" t="s">
        <v>30</v>
      </c>
    </row>
    <row r="50" spans="1:7" x14ac:dyDescent="0.3">
      <c r="A50" s="6" t="s">
        <v>119</v>
      </c>
      <c r="B50" s="6" t="s">
        <v>212</v>
      </c>
      <c r="C50" s="6" t="s">
        <v>136</v>
      </c>
      <c r="D50" s="6" t="str">
        <f t="shared" si="0"/>
        <v>NHASHospitals/Facilities</v>
      </c>
      <c r="E50" s="19" t="s">
        <v>34</v>
      </c>
      <c r="F50" s="19" t="s">
        <v>30</v>
      </c>
      <c r="G50" s="19" t="s">
        <v>30</v>
      </c>
    </row>
    <row r="51" spans="1:7" x14ac:dyDescent="0.3">
      <c r="A51" s="6" t="s">
        <v>119</v>
      </c>
      <c r="B51" s="6" t="s">
        <v>212</v>
      </c>
      <c r="C51" s="6" t="s">
        <v>137</v>
      </c>
      <c r="D51" s="6" t="str">
        <f t="shared" si="0"/>
        <v>NHASPart C/D Health Plans</v>
      </c>
      <c r="E51" s="19" t="s">
        <v>110</v>
      </c>
      <c r="F51" s="19" t="s">
        <v>30</v>
      </c>
      <c r="G51" s="19" t="s">
        <v>30</v>
      </c>
    </row>
    <row r="52" spans="1:7" x14ac:dyDescent="0.3">
      <c r="A52" s="6" t="s">
        <v>104</v>
      </c>
      <c r="B52" s="6" t="s">
        <v>213</v>
      </c>
      <c r="C52" s="6" t="s">
        <v>127</v>
      </c>
      <c r="D52" s="6" t="str">
        <f t="shared" si="0"/>
        <v>BLSASocial Security Number</v>
      </c>
      <c r="E52" s="19" t="s">
        <v>36</v>
      </c>
      <c r="F52" s="19" t="s">
        <v>30</v>
      </c>
      <c r="G52" s="19" t="s">
        <v>30</v>
      </c>
    </row>
    <row r="53" spans="1:7" x14ac:dyDescent="0.3">
      <c r="A53" s="6" t="s">
        <v>104</v>
      </c>
      <c r="B53" s="6" t="s">
        <v>213</v>
      </c>
      <c r="C53" s="6" t="s">
        <v>128</v>
      </c>
      <c r="D53" s="6" t="str">
        <f t="shared" si="0"/>
        <v>BLSAMedicare or Medicaid Beneficiary Number</v>
      </c>
      <c r="E53" s="19" t="s">
        <v>36</v>
      </c>
      <c r="F53" s="19" t="s">
        <v>30</v>
      </c>
      <c r="G53" s="19" t="s">
        <v>30</v>
      </c>
    </row>
    <row r="54" spans="1:7" x14ac:dyDescent="0.3">
      <c r="A54" s="6" t="s">
        <v>104</v>
      </c>
      <c r="B54" s="6" t="s">
        <v>213</v>
      </c>
      <c r="C54" s="6" t="s">
        <v>129</v>
      </c>
      <c r="D54" s="6" t="str">
        <f t="shared" si="0"/>
        <v>BLSASurname</v>
      </c>
      <c r="E54" s="19" t="s">
        <v>36</v>
      </c>
      <c r="F54" s="19" t="s">
        <v>30</v>
      </c>
      <c r="G54" s="19" t="s">
        <v>30</v>
      </c>
    </row>
    <row r="55" spans="1:7" x14ac:dyDescent="0.3">
      <c r="A55" s="6" t="s">
        <v>104</v>
      </c>
      <c r="B55" s="6" t="s">
        <v>213</v>
      </c>
      <c r="C55" s="6" t="s">
        <v>130</v>
      </c>
      <c r="D55" s="6" t="str">
        <f t="shared" si="0"/>
        <v>BLSABeneficiary Identification Number (BID) [Random]</v>
      </c>
      <c r="E55" s="19" t="s">
        <v>34</v>
      </c>
      <c r="F55" s="19" t="s">
        <v>30</v>
      </c>
      <c r="G55" s="19" t="s">
        <v>30</v>
      </c>
    </row>
    <row r="56" spans="1:7" x14ac:dyDescent="0.3">
      <c r="A56" s="6" t="s">
        <v>104</v>
      </c>
      <c r="B56" s="6" t="s">
        <v>213</v>
      </c>
      <c r="C56" s="6" t="s">
        <v>207</v>
      </c>
      <c r="D56" s="6" t="str">
        <f t="shared" si="0"/>
        <v>BLSADate of Birth</v>
      </c>
      <c r="E56" s="20" t="s">
        <v>131</v>
      </c>
      <c r="F56" s="19" t="s">
        <v>30</v>
      </c>
      <c r="G56" s="19" t="s">
        <v>30</v>
      </c>
    </row>
    <row r="57" spans="1:7" x14ac:dyDescent="0.3">
      <c r="A57" s="6" t="s">
        <v>104</v>
      </c>
      <c r="B57" s="6" t="s">
        <v>213</v>
      </c>
      <c r="C57" s="6" t="s">
        <v>208</v>
      </c>
      <c r="D57" s="6" t="str">
        <f t="shared" si="0"/>
        <v>BLSAGender/Race</v>
      </c>
      <c r="E57" s="20" t="s">
        <v>131</v>
      </c>
      <c r="F57" s="19" t="s">
        <v>30</v>
      </c>
      <c r="G57" s="19" t="s">
        <v>30</v>
      </c>
    </row>
    <row r="58" spans="1:7" x14ac:dyDescent="0.3">
      <c r="A58" s="6" t="s">
        <v>104</v>
      </c>
      <c r="B58" s="6" t="s">
        <v>213</v>
      </c>
      <c r="C58" s="6" t="s">
        <v>132</v>
      </c>
      <c r="D58" s="6" t="str">
        <f t="shared" si="0"/>
        <v>BLSAExact Dates of Service</v>
      </c>
      <c r="E58" s="20" t="s">
        <v>131</v>
      </c>
      <c r="F58" s="19" t="s">
        <v>30</v>
      </c>
      <c r="G58" s="19" t="s">
        <v>30</v>
      </c>
    </row>
    <row r="59" spans="1:7" x14ac:dyDescent="0.3">
      <c r="A59" s="6" t="s">
        <v>104</v>
      </c>
      <c r="B59" s="6" t="s">
        <v>213</v>
      </c>
      <c r="C59" s="6" t="s">
        <v>133</v>
      </c>
      <c r="D59" s="6" t="str">
        <f t="shared" si="0"/>
        <v>BLSABeneficiary State Code/County Code/Zip Code</v>
      </c>
      <c r="E59" s="20" t="s">
        <v>35</v>
      </c>
      <c r="F59" s="19" t="s">
        <v>30</v>
      </c>
      <c r="G59" s="19" t="s">
        <v>30</v>
      </c>
    </row>
    <row r="60" spans="1:7" x14ac:dyDescent="0.3">
      <c r="A60" s="6" t="s">
        <v>104</v>
      </c>
      <c r="B60" s="6" t="s">
        <v>213</v>
      </c>
      <c r="C60" s="6" t="s">
        <v>134</v>
      </c>
      <c r="D60" s="6" t="str">
        <f t="shared" si="0"/>
        <v>BLSAProvider Characteristics (e.g., National Provider Identifiers (NPIs), Unique Provider Identification Numbers (UPINs))</v>
      </c>
      <c r="E60" s="19" t="s">
        <v>34</v>
      </c>
      <c r="F60" s="19" t="s">
        <v>30</v>
      </c>
      <c r="G60" s="19" t="s">
        <v>30</v>
      </c>
    </row>
    <row r="61" spans="1:7" x14ac:dyDescent="0.3">
      <c r="A61" s="6" t="s">
        <v>104</v>
      </c>
      <c r="B61" s="6" t="s">
        <v>213</v>
      </c>
      <c r="C61" s="6" t="s">
        <v>135</v>
      </c>
      <c r="D61" s="6" t="str">
        <f t="shared" si="0"/>
        <v>BLSACMS Certification Number (CCN)</v>
      </c>
      <c r="E61" s="19" t="s">
        <v>34</v>
      </c>
      <c r="F61" s="19" t="s">
        <v>30</v>
      </c>
      <c r="G61" s="19" t="s">
        <v>30</v>
      </c>
    </row>
    <row r="62" spans="1:7" x14ac:dyDescent="0.3">
      <c r="A62" s="6" t="s">
        <v>104</v>
      </c>
      <c r="B62" s="6" t="s">
        <v>213</v>
      </c>
      <c r="C62" s="6" t="s">
        <v>136</v>
      </c>
      <c r="D62" s="6" t="str">
        <f t="shared" si="0"/>
        <v>BLSAHospitals/Facilities</v>
      </c>
      <c r="E62" s="19" t="s">
        <v>34</v>
      </c>
      <c r="F62" s="19" t="s">
        <v>30</v>
      </c>
      <c r="G62" s="19" t="s">
        <v>30</v>
      </c>
    </row>
    <row r="63" spans="1:7" x14ac:dyDescent="0.3">
      <c r="A63" s="6" t="s">
        <v>104</v>
      </c>
      <c r="B63" s="6" t="s">
        <v>213</v>
      </c>
      <c r="C63" s="6" t="s">
        <v>137</v>
      </c>
      <c r="D63" s="6" t="str">
        <f t="shared" si="0"/>
        <v>BLSAPart C/D Health Plans</v>
      </c>
      <c r="E63" s="19" t="s">
        <v>110</v>
      </c>
      <c r="F63" s="19" t="s">
        <v>30</v>
      </c>
      <c r="G63" s="19" t="s">
        <v>30</v>
      </c>
    </row>
    <row r="64" spans="1:7" x14ac:dyDescent="0.3">
      <c r="A64" s="6" t="s">
        <v>120</v>
      </c>
      <c r="B64" s="6" t="s">
        <v>214</v>
      </c>
      <c r="C64" s="6" t="s">
        <v>127</v>
      </c>
      <c r="D64" s="6" t="str">
        <f t="shared" si="0"/>
        <v>BEAMSSocial Security Number</v>
      </c>
      <c r="E64" s="19" t="s">
        <v>36</v>
      </c>
      <c r="F64" s="19" t="s">
        <v>36</v>
      </c>
      <c r="G64" s="19" t="s">
        <v>36</v>
      </c>
    </row>
    <row r="65" spans="1:7" x14ac:dyDescent="0.3">
      <c r="A65" s="6" t="s">
        <v>120</v>
      </c>
      <c r="B65" s="6" t="s">
        <v>214</v>
      </c>
      <c r="C65" s="6" t="s">
        <v>128</v>
      </c>
      <c r="D65" s="6" t="str">
        <f t="shared" si="0"/>
        <v>BEAMSMedicare or Medicaid Beneficiary Number</v>
      </c>
      <c r="E65" s="19" t="s">
        <v>36</v>
      </c>
      <c r="F65" s="19" t="s">
        <v>36</v>
      </c>
      <c r="G65" s="19" t="s">
        <v>36</v>
      </c>
    </row>
    <row r="66" spans="1:7" x14ac:dyDescent="0.3">
      <c r="A66" s="6" t="s">
        <v>120</v>
      </c>
      <c r="B66" s="6" t="s">
        <v>214</v>
      </c>
      <c r="C66" s="6" t="s">
        <v>129</v>
      </c>
      <c r="D66" s="6" t="str">
        <f t="shared" si="0"/>
        <v>BEAMSSurname</v>
      </c>
      <c r="E66" s="19" t="s">
        <v>36</v>
      </c>
      <c r="F66" s="19" t="s">
        <v>36</v>
      </c>
      <c r="G66" s="19" t="s">
        <v>36</v>
      </c>
    </row>
    <row r="67" spans="1:7" x14ac:dyDescent="0.3">
      <c r="A67" s="6" t="s">
        <v>120</v>
      </c>
      <c r="B67" s="6" t="s">
        <v>214</v>
      </c>
      <c r="C67" s="6" t="s">
        <v>130</v>
      </c>
      <c r="D67" s="6" t="str">
        <f t="shared" si="0"/>
        <v>BEAMSBeneficiary Identification Number (BID) [Random]</v>
      </c>
      <c r="E67" s="20" t="s">
        <v>226</v>
      </c>
      <c r="F67" s="20" t="s">
        <v>226</v>
      </c>
      <c r="G67" s="20" t="s">
        <v>226</v>
      </c>
    </row>
    <row r="68" spans="1:7" x14ac:dyDescent="0.3">
      <c r="A68" s="6" t="s">
        <v>120</v>
      </c>
      <c r="B68" s="6" t="s">
        <v>214</v>
      </c>
      <c r="C68" s="6" t="s">
        <v>207</v>
      </c>
      <c r="D68" s="6" t="str">
        <f t="shared" si="0"/>
        <v>BEAMSDate of Birth</v>
      </c>
      <c r="E68" s="20" t="s">
        <v>226</v>
      </c>
      <c r="F68" s="20" t="s">
        <v>226</v>
      </c>
      <c r="G68" s="20" t="s">
        <v>226</v>
      </c>
    </row>
    <row r="69" spans="1:7" x14ac:dyDescent="0.3">
      <c r="A69" s="6" t="s">
        <v>120</v>
      </c>
      <c r="B69" s="6" t="s">
        <v>214</v>
      </c>
      <c r="C69" s="6" t="s">
        <v>208</v>
      </c>
      <c r="D69" s="6" t="str">
        <f t="shared" ref="D69:D132" si="1">CONCATENATE(B69,C69)</f>
        <v>BEAMSGender/Race</v>
      </c>
      <c r="E69" s="20" t="s">
        <v>226</v>
      </c>
      <c r="F69" s="20" t="s">
        <v>226</v>
      </c>
      <c r="G69" s="20" t="s">
        <v>226</v>
      </c>
    </row>
    <row r="70" spans="1:7" x14ac:dyDescent="0.3">
      <c r="A70" s="6" t="s">
        <v>120</v>
      </c>
      <c r="B70" s="6" t="s">
        <v>214</v>
      </c>
      <c r="C70" s="6" t="s">
        <v>132</v>
      </c>
      <c r="D70" s="6" t="str">
        <f t="shared" si="1"/>
        <v>BEAMSExact Dates of Service</v>
      </c>
      <c r="E70" s="20" t="s">
        <v>226</v>
      </c>
      <c r="F70" s="20" t="s">
        <v>226</v>
      </c>
      <c r="G70" s="20" t="s">
        <v>226</v>
      </c>
    </row>
    <row r="71" spans="1:7" x14ac:dyDescent="0.3">
      <c r="A71" s="6" t="s">
        <v>120</v>
      </c>
      <c r="B71" s="6" t="s">
        <v>214</v>
      </c>
      <c r="C71" s="6" t="s">
        <v>133</v>
      </c>
      <c r="D71" s="6" t="str">
        <f t="shared" si="1"/>
        <v>BEAMSBeneficiary State Code/County Code/Zip Code</v>
      </c>
      <c r="E71" s="20" t="s">
        <v>226</v>
      </c>
      <c r="F71" s="20" t="s">
        <v>226</v>
      </c>
      <c r="G71" s="20" t="s">
        <v>226</v>
      </c>
    </row>
    <row r="72" spans="1:7" x14ac:dyDescent="0.3">
      <c r="A72" s="6" t="s">
        <v>120</v>
      </c>
      <c r="B72" s="6" t="s">
        <v>214</v>
      </c>
      <c r="C72" s="6" t="s">
        <v>134</v>
      </c>
      <c r="D72" s="6" t="str">
        <f t="shared" si="1"/>
        <v>BEAMSProvider Characteristics (e.g., National Provider Identifiers (NPIs), Unique Provider Identification Numbers (UPINs))</v>
      </c>
      <c r="E72" s="20" t="s">
        <v>226</v>
      </c>
      <c r="F72" s="20" t="s">
        <v>226</v>
      </c>
      <c r="G72" s="20" t="s">
        <v>226</v>
      </c>
    </row>
    <row r="73" spans="1:7" x14ac:dyDescent="0.3">
      <c r="A73" s="6" t="s">
        <v>120</v>
      </c>
      <c r="B73" s="6" t="s">
        <v>214</v>
      </c>
      <c r="C73" s="6" t="s">
        <v>135</v>
      </c>
      <c r="D73" s="6" t="str">
        <f t="shared" si="1"/>
        <v>BEAMSCMS Certification Number (CCN)</v>
      </c>
      <c r="E73" s="20" t="s">
        <v>226</v>
      </c>
      <c r="F73" s="20" t="s">
        <v>226</v>
      </c>
      <c r="G73" s="20" t="s">
        <v>226</v>
      </c>
    </row>
    <row r="74" spans="1:7" x14ac:dyDescent="0.3">
      <c r="A74" s="6" t="s">
        <v>120</v>
      </c>
      <c r="B74" s="6" t="s">
        <v>214</v>
      </c>
      <c r="C74" s="6" t="s">
        <v>136</v>
      </c>
      <c r="D74" s="6" t="str">
        <f t="shared" si="1"/>
        <v>BEAMSHospitals/Facilities</v>
      </c>
      <c r="E74" s="20" t="s">
        <v>226</v>
      </c>
      <c r="F74" s="20" t="s">
        <v>226</v>
      </c>
      <c r="G74" s="20" t="s">
        <v>226</v>
      </c>
    </row>
    <row r="75" spans="1:7" x14ac:dyDescent="0.3">
      <c r="A75" s="6" t="s">
        <v>120</v>
      </c>
      <c r="B75" s="6" t="s">
        <v>214</v>
      </c>
      <c r="C75" s="6" t="s">
        <v>137</v>
      </c>
      <c r="D75" s="6" t="str">
        <f t="shared" si="1"/>
        <v>BEAMSPart C/D Health Plans</v>
      </c>
      <c r="E75" s="20" t="s">
        <v>226</v>
      </c>
      <c r="F75" s="20" t="s">
        <v>226</v>
      </c>
      <c r="G75" s="20" t="s">
        <v>226</v>
      </c>
    </row>
    <row r="76" spans="1:7" x14ac:dyDescent="0.3">
      <c r="A76" s="6" t="s">
        <v>116</v>
      </c>
      <c r="B76" s="6" t="s">
        <v>215</v>
      </c>
      <c r="C76" s="6" t="s">
        <v>127</v>
      </c>
      <c r="D76" s="6" t="str">
        <f t="shared" si="1"/>
        <v>CESocial Security Number</v>
      </c>
      <c r="E76" s="19" t="s">
        <v>36</v>
      </c>
      <c r="F76" s="19" t="s">
        <v>30</v>
      </c>
      <c r="G76" s="19" t="s">
        <v>30</v>
      </c>
    </row>
    <row r="77" spans="1:7" x14ac:dyDescent="0.3">
      <c r="A77" s="6" t="s">
        <v>116</v>
      </c>
      <c r="B77" s="6" t="s">
        <v>215</v>
      </c>
      <c r="C77" s="6" t="s">
        <v>128</v>
      </c>
      <c r="D77" s="6" t="str">
        <f t="shared" si="1"/>
        <v>CEMedicare or Medicaid Beneficiary Number</v>
      </c>
      <c r="E77" s="19" t="s">
        <v>36</v>
      </c>
      <c r="F77" s="19" t="s">
        <v>30</v>
      </c>
      <c r="G77" s="19" t="s">
        <v>30</v>
      </c>
    </row>
    <row r="78" spans="1:7" x14ac:dyDescent="0.3">
      <c r="A78" s="6" t="s">
        <v>116</v>
      </c>
      <c r="B78" s="6" t="s">
        <v>215</v>
      </c>
      <c r="C78" s="6" t="s">
        <v>129</v>
      </c>
      <c r="D78" s="6" t="str">
        <f t="shared" si="1"/>
        <v>CESurname</v>
      </c>
      <c r="E78" s="19" t="s">
        <v>36</v>
      </c>
      <c r="F78" s="19" t="s">
        <v>30</v>
      </c>
      <c r="G78" s="19" t="s">
        <v>30</v>
      </c>
    </row>
    <row r="79" spans="1:7" x14ac:dyDescent="0.3">
      <c r="A79" s="6" t="s">
        <v>116</v>
      </c>
      <c r="B79" s="6" t="s">
        <v>215</v>
      </c>
      <c r="C79" s="6" t="s">
        <v>130</v>
      </c>
      <c r="D79" s="6" t="str">
        <f t="shared" si="1"/>
        <v>CEBeneficiary Identification Number (BID) [Random]</v>
      </c>
      <c r="E79" s="19" t="s">
        <v>34</v>
      </c>
      <c r="F79" s="19" t="s">
        <v>30</v>
      </c>
      <c r="G79" s="19" t="s">
        <v>30</v>
      </c>
    </row>
    <row r="80" spans="1:7" x14ac:dyDescent="0.3">
      <c r="A80" s="6" t="s">
        <v>116</v>
      </c>
      <c r="B80" s="6" t="s">
        <v>215</v>
      </c>
      <c r="C80" s="6" t="s">
        <v>207</v>
      </c>
      <c r="D80" s="6" t="str">
        <f t="shared" si="1"/>
        <v>CEDate of Birth</v>
      </c>
      <c r="E80" s="20" t="s">
        <v>110</v>
      </c>
      <c r="F80" s="19" t="s">
        <v>30</v>
      </c>
      <c r="G80" s="19" t="s">
        <v>30</v>
      </c>
    </row>
    <row r="81" spans="1:7" x14ac:dyDescent="0.3">
      <c r="A81" s="6" t="s">
        <v>116</v>
      </c>
      <c r="B81" s="6" t="s">
        <v>215</v>
      </c>
      <c r="C81" s="6" t="s">
        <v>208</v>
      </c>
      <c r="D81" s="6" t="str">
        <f t="shared" si="1"/>
        <v>CEGender/Race</v>
      </c>
      <c r="E81" s="20" t="s">
        <v>131</v>
      </c>
      <c r="F81" s="19" t="s">
        <v>30</v>
      </c>
      <c r="G81" s="19" t="s">
        <v>30</v>
      </c>
    </row>
    <row r="82" spans="1:7" x14ac:dyDescent="0.3">
      <c r="A82" s="6" t="s">
        <v>116</v>
      </c>
      <c r="B82" s="6" t="s">
        <v>215</v>
      </c>
      <c r="C82" s="6" t="s">
        <v>132</v>
      </c>
      <c r="D82" s="6" t="str">
        <f t="shared" si="1"/>
        <v>CEExact Dates of Service</v>
      </c>
      <c r="E82" s="20" t="s">
        <v>110</v>
      </c>
      <c r="F82" s="19" t="s">
        <v>30</v>
      </c>
      <c r="G82" s="19" t="s">
        <v>30</v>
      </c>
    </row>
    <row r="83" spans="1:7" x14ac:dyDescent="0.3">
      <c r="A83" s="6" t="s">
        <v>116</v>
      </c>
      <c r="B83" s="6" t="s">
        <v>215</v>
      </c>
      <c r="C83" s="6" t="s">
        <v>133</v>
      </c>
      <c r="D83" s="6" t="str">
        <f t="shared" si="1"/>
        <v>CEBeneficiary State Code/County Code/Zip Code</v>
      </c>
      <c r="E83" s="20" t="s">
        <v>35</v>
      </c>
      <c r="F83" s="19" t="s">
        <v>30</v>
      </c>
      <c r="G83" s="19" t="s">
        <v>30</v>
      </c>
    </row>
    <row r="84" spans="1:7" x14ac:dyDescent="0.3">
      <c r="A84" s="6" t="s">
        <v>116</v>
      </c>
      <c r="B84" s="6" t="s">
        <v>215</v>
      </c>
      <c r="C84" s="6" t="s">
        <v>134</v>
      </c>
      <c r="D84" s="6" t="str">
        <f t="shared" si="1"/>
        <v>CEProvider Characteristics (e.g., National Provider Identifiers (NPIs), Unique Provider Identification Numbers (UPINs))</v>
      </c>
      <c r="E84" s="19" t="s">
        <v>34</v>
      </c>
      <c r="F84" s="19" t="s">
        <v>30</v>
      </c>
      <c r="G84" s="19" t="s">
        <v>30</v>
      </c>
    </row>
    <row r="85" spans="1:7" x14ac:dyDescent="0.3">
      <c r="A85" s="6" t="s">
        <v>116</v>
      </c>
      <c r="B85" s="6" t="s">
        <v>215</v>
      </c>
      <c r="C85" s="6" t="s">
        <v>135</v>
      </c>
      <c r="D85" s="6" t="str">
        <f t="shared" si="1"/>
        <v>CECMS Certification Number (CCN)</v>
      </c>
      <c r="E85" s="19" t="s">
        <v>34</v>
      </c>
      <c r="F85" s="19" t="s">
        <v>30</v>
      </c>
      <c r="G85" s="19" t="s">
        <v>30</v>
      </c>
    </row>
    <row r="86" spans="1:7" x14ac:dyDescent="0.3">
      <c r="A86" s="6" t="s">
        <v>116</v>
      </c>
      <c r="B86" s="6" t="s">
        <v>215</v>
      </c>
      <c r="C86" s="6" t="s">
        <v>136</v>
      </c>
      <c r="D86" s="6" t="str">
        <f t="shared" si="1"/>
        <v>CEHospitals/Facilities</v>
      </c>
      <c r="E86" s="19" t="s">
        <v>34</v>
      </c>
      <c r="F86" s="19" t="s">
        <v>30</v>
      </c>
      <c r="G86" s="19" t="s">
        <v>30</v>
      </c>
    </row>
    <row r="87" spans="1:7" x14ac:dyDescent="0.3">
      <c r="A87" s="6" t="s">
        <v>116</v>
      </c>
      <c r="B87" s="6" t="s">
        <v>215</v>
      </c>
      <c r="C87" s="6" t="s">
        <v>137</v>
      </c>
      <c r="D87" s="6" t="str">
        <f t="shared" si="1"/>
        <v>CEPart C/D Health Plans</v>
      </c>
      <c r="E87" s="19" t="s">
        <v>110</v>
      </c>
      <c r="F87" s="19" t="s">
        <v>30</v>
      </c>
      <c r="G87" s="19" t="s">
        <v>30</v>
      </c>
    </row>
    <row r="88" spans="1:7" x14ac:dyDescent="0.3">
      <c r="A88" s="6" t="s">
        <v>117</v>
      </c>
      <c r="B88" s="6" t="s">
        <v>216</v>
      </c>
      <c r="C88" s="6" t="s">
        <v>127</v>
      </c>
      <c r="D88" s="6" t="str">
        <f t="shared" si="1"/>
        <v>CHAPSocial Security Number</v>
      </c>
      <c r="E88" s="19" t="s">
        <v>36</v>
      </c>
      <c r="F88" s="19" t="s">
        <v>36</v>
      </c>
      <c r="G88" s="19" t="s">
        <v>36</v>
      </c>
    </row>
    <row r="89" spans="1:7" x14ac:dyDescent="0.3">
      <c r="A89" s="6" t="s">
        <v>117</v>
      </c>
      <c r="B89" s="6" t="s">
        <v>216</v>
      </c>
      <c r="C89" s="6" t="s">
        <v>128</v>
      </c>
      <c r="D89" s="6" t="str">
        <f t="shared" si="1"/>
        <v>CHAPMedicare or Medicaid Beneficiary Number</v>
      </c>
      <c r="E89" s="19" t="s">
        <v>36</v>
      </c>
      <c r="F89" s="19" t="s">
        <v>36</v>
      </c>
      <c r="G89" s="19" t="s">
        <v>36</v>
      </c>
    </row>
    <row r="90" spans="1:7" x14ac:dyDescent="0.3">
      <c r="A90" s="6" t="s">
        <v>117</v>
      </c>
      <c r="B90" s="6" t="s">
        <v>216</v>
      </c>
      <c r="C90" s="6" t="s">
        <v>129</v>
      </c>
      <c r="D90" s="6" t="str">
        <f t="shared" si="1"/>
        <v>CHAPSurname</v>
      </c>
      <c r="E90" s="19" t="s">
        <v>36</v>
      </c>
      <c r="F90" s="19" t="s">
        <v>36</v>
      </c>
      <c r="G90" s="19" t="s">
        <v>36</v>
      </c>
    </row>
    <row r="91" spans="1:7" x14ac:dyDescent="0.3">
      <c r="A91" s="6" t="s">
        <v>117</v>
      </c>
      <c r="B91" s="6" t="s">
        <v>216</v>
      </c>
      <c r="C91" s="6" t="s">
        <v>130</v>
      </c>
      <c r="D91" s="6" t="str">
        <f t="shared" si="1"/>
        <v>CHAPBeneficiary Identification Number (BID) [Random]</v>
      </c>
      <c r="E91" s="19" t="s">
        <v>34</v>
      </c>
      <c r="F91" s="19" t="s">
        <v>34</v>
      </c>
      <c r="G91" s="19" t="s">
        <v>34</v>
      </c>
    </row>
    <row r="92" spans="1:7" x14ac:dyDescent="0.3">
      <c r="A92" s="6" t="s">
        <v>117</v>
      </c>
      <c r="B92" s="6" t="s">
        <v>216</v>
      </c>
      <c r="C92" s="6" t="s">
        <v>207</v>
      </c>
      <c r="D92" s="6" t="str">
        <f t="shared" si="1"/>
        <v>CHAPDate of Birth</v>
      </c>
      <c r="E92" s="20" t="s">
        <v>131</v>
      </c>
      <c r="F92" s="20" t="s">
        <v>131</v>
      </c>
      <c r="G92" s="20" t="s">
        <v>131</v>
      </c>
    </row>
    <row r="93" spans="1:7" x14ac:dyDescent="0.3">
      <c r="A93" s="6" t="s">
        <v>117</v>
      </c>
      <c r="B93" s="6" t="s">
        <v>216</v>
      </c>
      <c r="C93" s="6" t="s">
        <v>208</v>
      </c>
      <c r="D93" s="6" t="str">
        <f t="shared" si="1"/>
        <v>CHAPGender/Race</v>
      </c>
      <c r="E93" s="20" t="s">
        <v>131</v>
      </c>
      <c r="F93" s="20" t="s">
        <v>131</v>
      </c>
      <c r="G93" s="20" t="s">
        <v>131</v>
      </c>
    </row>
    <row r="94" spans="1:7" x14ac:dyDescent="0.3">
      <c r="A94" s="6" t="s">
        <v>117</v>
      </c>
      <c r="B94" s="6" t="s">
        <v>216</v>
      </c>
      <c r="C94" s="6" t="s">
        <v>132</v>
      </c>
      <c r="D94" s="6" t="str">
        <f t="shared" si="1"/>
        <v>CHAPExact Dates of Service</v>
      </c>
      <c r="E94" s="20" t="s">
        <v>131</v>
      </c>
      <c r="F94" s="20" t="s">
        <v>131</v>
      </c>
      <c r="G94" s="20" t="s">
        <v>131</v>
      </c>
    </row>
    <row r="95" spans="1:7" x14ac:dyDescent="0.3">
      <c r="A95" s="6" t="s">
        <v>117</v>
      </c>
      <c r="B95" s="6" t="s">
        <v>216</v>
      </c>
      <c r="C95" s="6" t="s">
        <v>133</v>
      </c>
      <c r="D95" s="6" t="str">
        <f t="shared" si="1"/>
        <v>CHAPBeneficiary State Code/County Code/Zip Code</v>
      </c>
      <c r="E95" s="20" t="s">
        <v>35</v>
      </c>
      <c r="F95" s="20" t="s">
        <v>131</v>
      </c>
      <c r="G95" s="20" t="s">
        <v>131</v>
      </c>
    </row>
    <row r="96" spans="1:7" x14ac:dyDescent="0.3">
      <c r="A96" s="6" t="s">
        <v>117</v>
      </c>
      <c r="B96" s="6" t="s">
        <v>216</v>
      </c>
      <c r="C96" s="6" t="s">
        <v>134</v>
      </c>
      <c r="D96" s="6" t="str">
        <f t="shared" si="1"/>
        <v>CHAPProvider Characteristics (e.g., National Provider Identifiers (NPIs), Unique Provider Identification Numbers (UPINs))</v>
      </c>
      <c r="E96" s="19" t="s">
        <v>34</v>
      </c>
      <c r="F96" s="19" t="s">
        <v>34</v>
      </c>
      <c r="G96" s="20" t="s">
        <v>131</v>
      </c>
    </row>
    <row r="97" spans="1:7" x14ac:dyDescent="0.3">
      <c r="A97" s="6" t="s">
        <v>117</v>
      </c>
      <c r="B97" s="6" t="s">
        <v>216</v>
      </c>
      <c r="C97" s="6" t="s">
        <v>135</v>
      </c>
      <c r="D97" s="6" t="str">
        <f t="shared" si="1"/>
        <v>CHAPCMS Certification Number (CCN)</v>
      </c>
      <c r="E97" s="19" t="s">
        <v>34</v>
      </c>
      <c r="F97" s="19" t="s">
        <v>34</v>
      </c>
      <c r="G97" s="20" t="s">
        <v>131</v>
      </c>
    </row>
    <row r="98" spans="1:7" x14ac:dyDescent="0.3">
      <c r="A98" s="6" t="s">
        <v>117</v>
      </c>
      <c r="B98" s="6" t="s">
        <v>216</v>
      </c>
      <c r="C98" s="6" t="s">
        <v>136</v>
      </c>
      <c r="D98" s="6" t="str">
        <f t="shared" si="1"/>
        <v>CHAPHospitals/Facilities</v>
      </c>
      <c r="E98" s="19" t="s">
        <v>34</v>
      </c>
      <c r="F98" s="19" t="s">
        <v>34</v>
      </c>
      <c r="G98" s="20" t="s">
        <v>131</v>
      </c>
    </row>
    <row r="99" spans="1:7" x14ac:dyDescent="0.3">
      <c r="A99" s="6" t="s">
        <v>117</v>
      </c>
      <c r="B99" s="6" t="s">
        <v>216</v>
      </c>
      <c r="C99" s="6" t="s">
        <v>137</v>
      </c>
      <c r="D99" s="6" t="str">
        <f t="shared" si="1"/>
        <v>CHAPPart C/D Health Plans</v>
      </c>
      <c r="E99" s="19" t="s">
        <v>110</v>
      </c>
      <c r="F99" s="19" t="s">
        <v>110</v>
      </c>
      <c r="G99" s="20" t="s">
        <v>131</v>
      </c>
    </row>
    <row r="100" spans="1:7" x14ac:dyDescent="0.3">
      <c r="A100" s="6" t="s">
        <v>86</v>
      </c>
      <c r="B100" s="6" t="s">
        <v>217</v>
      </c>
      <c r="C100" s="6" t="s">
        <v>127</v>
      </c>
      <c r="D100" s="6" t="str">
        <f t="shared" si="1"/>
        <v>HABCSocial Security Number</v>
      </c>
      <c r="E100" s="19" t="s">
        <v>36</v>
      </c>
      <c r="F100" s="19" t="s">
        <v>30</v>
      </c>
      <c r="G100" s="19" t="s">
        <v>30</v>
      </c>
    </row>
    <row r="101" spans="1:7" x14ac:dyDescent="0.3">
      <c r="A101" s="6" t="s">
        <v>86</v>
      </c>
      <c r="B101" s="6" t="s">
        <v>217</v>
      </c>
      <c r="C101" s="6" t="s">
        <v>128</v>
      </c>
      <c r="D101" s="6" t="str">
        <f t="shared" si="1"/>
        <v>HABCMedicare or Medicaid Beneficiary Number</v>
      </c>
      <c r="E101" s="19" t="s">
        <v>36</v>
      </c>
      <c r="F101" s="19" t="s">
        <v>30</v>
      </c>
      <c r="G101" s="19" t="s">
        <v>30</v>
      </c>
    </row>
    <row r="102" spans="1:7" x14ac:dyDescent="0.3">
      <c r="A102" s="6" t="s">
        <v>86</v>
      </c>
      <c r="B102" s="6" t="s">
        <v>217</v>
      </c>
      <c r="C102" s="6" t="s">
        <v>129</v>
      </c>
      <c r="D102" s="6" t="str">
        <f t="shared" si="1"/>
        <v>HABCSurname</v>
      </c>
      <c r="E102" s="19" t="s">
        <v>36</v>
      </c>
      <c r="F102" s="19" t="s">
        <v>30</v>
      </c>
      <c r="G102" s="19" t="s">
        <v>30</v>
      </c>
    </row>
    <row r="103" spans="1:7" x14ac:dyDescent="0.3">
      <c r="A103" s="6" t="s">
        <v>86</v>
      </c>
      <c r="B103" s="6" t="s">
        <v>217</v>
      </c>
      <c r="C103" s="6" t="s">
        <v>130</v>
      </c>
      <c r="D103" s="6" t="str">
        <f t="shared" si="1"/>
        <v>HABCBeneficiary Identification Number (BID) [Random]</v>
      </c>
      <c r="E103" s="19" t="s">
        <v>34</v>
      </c>
      <c r="F103" s="19" t="s">
        <v>30</v>
      </c>
      <c r="G103" s="19" t="s">
        <v>30</v>
      </c>
    </row>
    <row r="104" spans="1:7" x14ac:dyDescent="0.3">
      <c r="A104" s="6" t="s">
        <v>86</v>
      </c>
      <c r="B104" s="6" t="s">
        <v>217</v>
      </c>
      <c r="C104" s="6" t="s">
        <v>207</v>
      </c>
      <c r="D104" s="6" t="str">
        <f t="shared" si="1"/>
        <v>HABCDate of Birth</v>
      </c>
      <c r="E104" s="20" t="s">
        <v>131</v>
      </c>
      <c r="F104" s="19" t="s">
        <v>30</v>
      </c>
      <c r="G104" s="19" t="s">
        <v>30</v>
      </c>
    </row>
    <row r="105" spans="1:7" x14ac:dyDescent="0.3">
      <c r="A105" s="6" t="s">
        <v>86</v>
      </c>
      <c r="B105" s="6" t="s">
        <v>217</v>
      </c>
      <c r="C105" s="6" t="s">
        <v>208</v>
      </c>
      <c r="D105" s="6" t="str">
        <f t="shared" si="1"/>
        <v>HABCGender/Race</v>
      </c>
      <c r="E105" s="20" t="s">
        <v>131</v>
      </c>
      <c r="F105" s="19" t="s">
        <v>30</v>
      </c>
      <c r="G105" s="19" t="s">
        <v>30</v>
      </c>
    </row>
    <row r="106" spans="1:7" x14ac:dyDescent="0.3">
      <c r="A106" s="6" t="s">
        <v>86</v>
      </c>
      <c r="B106" s="6" t="s">
        <v>217</v>
      </c>
      <c r="C106" s="6" t="s">
        <v>132</v>
      </c>
      <c r="D106" s="6" t="str">
        <f t="shared" si="1"/>
        <v>HABCExact Dates of Service</v>
      </c>
      <c r="E106" s="20" t="s">
        <v>131</v>
      </c>
      <c r="F106" s="19" t="s">
        <v>30</v>
      </c>
      <c r="G106" s="19" t="s">
        <v>30</v>
      </c>
    </row>
    <row r="107" spans="1:7" x14ac:dyDescent="0.3">
      <c r="A107" s="6" t="s">
        <v>86</v>
      </c>
      <c r="B107" s="6" t="s">
        <v>217</v>
      </c>
      <c r="C107" s="6" t="s">
        <v>133</v>
      </c>
      <c r="D107" s="6" t="str">
        <f t="shared" si="1"/>
        <v>HABCBeneficiary State Code/County Code/Zip Code</v>
      </c>
      <c r="E107" s="20" t="s">
        <v>35</v>
      </c>
      <c r="F107" s="19" t="s">
        <v>30</v>
      </c>
      <c r="G107" s="19" t="s">
        <v>30</v>
      </c>
    </row>
    <row r="108" spans="1:7" x14ac:dyDescent="0.3">
      <c r="A108" s="6" t="s">
        <v>86</v>
      </c>
      <c r="B108" s="6" t="s">
        <v>217</v>
      </c>
      <c r="C108" s="6" t="s">
        <v>134</v>
      </c>
      <c r="D108" s="6" t="str">
        <f t="shared" si="1"/>
        <v>HABCProvider Characteristics (e.g., National Provider Identifiers (NPIs), Unique Provider Identification Numbers (UPINs))</v>
      </c>
      <c r="E108" s="19" t="s">
        <v>34</v>
      </c>
      <c r="F108" s="19" t="s">
        <v>30</v>
      </c>
      <c r="G108" s="19" t="s">
        <v>30</v>
      </c>
    </row>
    <row r="109" spans="1:7" x14ac:dyDescent="0.3">
      <c r="A109" s="6" t="s">
        <v>86</v>
      </c>
      <c r="B109" s="6" t="s">
        <v>217</v>
      </c>
      <c r="C109" s="6" t="s">
        <v>135</v>
      </c>
      <c r="D109" s="6" t="str">
        <f t="shared" si="1"/>
        <v>HABCCMS Certification Number (CCN)</v>
      </c>
      <c r="E109" s="19" t="s">
        <v>34</v>
      </c>
      <c r="F109" s="19" t="s">
        <v>30</v>
      </c>
      <c r="G109" s="19" t="s">
        <v>30</v>
      </c>
    </row>
    <row r="110" spans="1:7" x14ac:dyDescent="0.3">
      <c r="A110" s="6" t="s">
        <v>86</v>
      </c>
      <c r="B110" s="6" t="s">
        <v>217</v>
      </c>
      <c r="C110" s="6" t="s">
        <v>136</v>
      </c>
      <c r="D110" s="6" t="str">
        <f t="shared" si="1"/>
        <v>HABCHospitals/Facilities</v>
      </c>
      <c r="E110" s="19" t="s">
        <v>34</v>
      </c>
      <c r="F110" s="19" t="s">
        <v>30</v>
      </c>
      <c r="G110" s="19" t="s">
        <v>30</v>
      </c>
    </row>
    <row r="111" spans="1:7" x14ac:dyDescent="0.3">
      <c r="A111" s="6" t="s">
        <v>86</v>
      </c>
      <c r="B111" s="6" t="s">
        <v>217</v>
      </c>
      <c r="C111" s="6" t="s">
        <v>137</v>
      </c>
      <c r="D111" s="6" t="str">
        <f t="shared" si="1"/>
        <v>HABCPart C/D Health Plans</v>
      </c>
      <c r="E111" s="19" t="s">
        <v>110</v>
      </c>
      <c r="F111" s="19" t="s">
        <v>30</v>
      </c>
      <c r="G111" s="19" t="s">
        <v>30</v>
      </c>
    </row>
    <row r="112" spans="1:7" x14ac:dyDescent="0.3">
      <c r="A112" s="6" t="s">
        <v>105</v>
      </c>
      <c r="B112" s="6" t="s">
        <v>33</v>
      </c>
      <c r="C112" s="6" t="s">
        <v>127</v>
      </c>
      <c r="D112" s="6" t="str">
        <f t="shared" si="1"/>
        <v>LLFSSocial Security Number</v>
      </c>
      <c r="E112" s="19" t="s">
        <v>36</v>
      </c>
      <c r="F112" s="19" t="s">
        <v>30</v>
      </c>
      <c r="G112" s="19" t="s">
        <v>30</v>
      </c>
    </row>
    <row r="113" spans="1:7" x14ac:dyDescent="0.3">
      <c r="A113" s="6" t="s">
        <v>105</v>
      </c>
      <c r="B113" s="6" t="s">
        <v>33</v>
      </c>
      <c r="C113" s="6" t="s">
        <v>128</v>
      </c>
      <c r="D113" s="6" t="str">
        <f t="shared" si="1"/>
        <v>LLFSMedicare or Medicaid Beneficiary Number</v>
      </c>
      <c r="E113" s="19" t="s">
        <v>36</v>
      </c>
      <c r="F113" s="19" t="s">
        <v>30</v>
      </c>
      <c r="G113" s="19" t="s">
        <v>30</v>
      </c>
    </row>
    <row r="114" spans="1:7" x14ac:dyDescent="0.3">
      <c r="A114" s="6" t="s">
        <v>105</v>
      </c>
      <c r="B114" s="6" t="s">
        <v>33</v>
      </c>
      <c r="C114" s="6" t="s">
        <v>129</v>
      </c>
      <c r="D114" s="6" t="str">
        <f t="shared" si="1"/>
        <v>LLFSSurname</v>
      </c>
      <c r="E114" s="19" t="s">
        <v>36</v>
      </c>
      <c r="F114" s="19" t="s">
        <v>30</v>
      </c>
      <c r="G114" s="19" t="s">
        <v>30</v>
      </c>
    </row>
    <row r="115" spans="1:7" x14ac:dyDescent="0.3">
      <c r="A115" s="6" t="s">
        <v>105</v>
      </c>
      <c r="B115" s="6" t="s">
        <v>33</v>
      </c>
      <c r="C115" s="6" t="s">
        <v>130</v>
      </c>
      <c r="D115" s="6" t="str">
        <f t="shared" si="1"/>
        <v>LLFSBeneficiary Identification Number (BID) [Random]</v>
      </c>
      <c r="E115" s="19" t="s">
        <v>34</v>
      </c>
      <c r="F115" s="19" t="s">
        <v>30</v>
      </c>
      <c r="G115" s="19" t="s">
        <v>30</v>
      </c>
    </row>
    <row r="116" spans="1:7" x14ac:dyDescent="0.3">
      <c r="A116" s="6" t="s">
        <v>105</v>
      </c>
      <c r="B116" s="6" t="s">
        <v>33</v>
      </c>
      <c r="C116" s="6" t="s">
        <v>207</v>
      </c>
      <c r="D116" s="6" t="str">
        <f t="shared" si="1"/>
        <v>LLFSDate of Birth</v>
      </c>
      <c r="E116" s="20" t="s">
        <v>36</v>
      </c>
      <c r="F116" s="19" t="s">
        <v>30</v>
      </c>
      <c r="G116" s="19" t="s">
        <v>30</v>
      </c>
    </row>
    <row r="117" spans="1:7" x14ac:dyDescent="0.3">
      <c r="A117" s="6" t="s">
        <v>105</v>
      </c>
      <c r="B117" s="6" t="s">
        <v>33</v>
      </c>
      <c r="C117" s="6" t="s">
        <v>208</v>
      </c>
      <c r="D117" s="6" t="str">
        <f t="shared" si="1"/>
        <v>LLFSGender/Race</v>
      </c>
      <c r="E117" s="20" t="s">
        <v>131</v>
      </c>
      <c r="F117" s="19" t="s">
        <v>30</v>
      </c>
      <c r="G117" s="19" t="s">
        <v>30</v>
      </c>
    </row>
    <row r="118" spans="1:7" x14ac:dyDescent="0.3">
      <c r="A118" s="6" t="s">
        <v>105</v>
      </c>
      <c r="B118" s="6" t="s">
        <v>33</v>
      </c>
      <c r="C118" s="6" t="s">
        <v>132</v>
      </c>
      <c r="D118" s="6" t="str">
        <f t="shared" si="1"/>
        <v>LLFSExact Dates of Service</v>
      </c>
      <c r="E118" s="20" t="s">
        <v>36</v>
      </c>
      <c r="F118" s="19" t="s">
        <v>30</v>
      </c>
      <c r="G118" s="19" t="s">
        <v>30</v>
      </c>
    </row>
    <row r="119" spans="1:7" x14ac:dyDescent="0.3">
      <c r="A119" s="6" t="s">
        <v>105</v>
      </c>
      <c r="B119" s="6" t="s">
        <v>33</v>
      </c>
      <c r="C119" s="6" t="s">
        <v>133</v>
      </c>
      <c r="D119" s="6" t="str">
        <f t="shared" si="1"/>
        <v>LLFSBeneficiary State Code/County Code/Zip Code</v>
      </c>
      <c r="E119" s="20" t="s">
        <v>36</v>
      </c>
      <c r="F119" s="19" t="s">
        <v>30</v>
      </c>
      <c r="G119" s="19" t="s">
        <v>30</v>
      </c>
    </row>
    <row r="120" spans="1:7" x14ac:dyDescent="0.3">
      <c r="A120" s="6" t="s">
        <v>105</v>
      </c>
      <c r="B120" s="6" t="s">
        <v>33</v>
      </c>
      <c r="C120" s="6" t="s">
        <v>134</v>
      </c>
      <c r="D120" s="6" t="str">
        <f t="shared" si="1"/>
        <v>LLFSProvider Characteristics (e.g., National Provider Identifiers (NPIs), Unique Provider Identification Numbers (UPINs))</v>
      </c>
      <c r="E120" s="19" t="s">
        <v>36</v>
      </c>
      <c r="F120" s="19" t="s">
        <v>30</v>
      </c>
      <c r="G120" s="19" t="s">
        <v>30</v>
      </c>
    </row>
    <row r="121" spans="1:7" x14ac:dyDescent="0.3">
      <c r="A121" s="6" t="s">
        <v>105</v>
      </c>
      <c r="B121" s="6" t="s">
        <v>33</v>
      </c>
      <c r="C121" s="6" t="s">
        <v>135</v>
      </c>
      <c r="D121" s="6" t="str">
        <f t="shared" si="1"/>
        <v>LLFSCMS Certification Number (CCN)</v>
      </c>
      <c r="E121" s="19" t="s">
        <v>36</v>
      </c>
      <c r="F121" s="19" t="s">
        <v>30</v>
      </c>
      <c r="G121" s="19" t="s">
        <v>30</v>
      </c>
    </row>
    <row r="122" spans="1:7" x14ac:dyDescent="0.3">
      <c r="A122" s="6" t="s">
        <v>105</v>
      </c>
      <c r="B122" s="6" t="s">
        <v>33</v>
      </c>
      <c r="C122" s="6" t="s">
        <v>136</v>
      </c>
      <c r="D122" s="6" t="str">
        <f t="shared" si="1"/>
        <v>LLFSHospitals/Facilities</v>
      </c>
      <c r="E122" s="19" t="s">
        <v>36</v>
      </c>
      <c r="F122" s="19" t="s">
        <v>30</v>
      </c>
      <c r="G122" s="19" t="s">
        <v>30</v>
      </c>
    </row>
    <row r="123" spans="1:7" x14ac:dyDescent="0.3">
      <c r="A123" s="6" t="s">
        <v>105</v>
      </c>
      <c r="B123" s="6" t="s">
        <v>33</v>
      </c>
      <c r="C123" s="6" t="s">
        <v>137</v>
      </c>
      <c r="D123" s="6" t="str">
        <f t="shared" si="1"/>
        <v>LLFSPart C/D Health Plans</v>
      </c>
      <c r="E123" s="19" t="s">
        <v>36</v>
      </c>
      <c r="F123" s="19" t="s">
        <v>30</v>
      </c>
      <c r="G123" s="19" t="s">
        <v>30</v>
      </c>
    </row>
    <row r="124" spans="1:7" x14ac:dyDescent="0.3">
      <c r="A124" s="6" t="s">
        <v>570</v>
      </c>
      <c r="B124" s="6" t="s">
        <v>218</v>
      </c>
      <c r="C124" s="6" t="s">
        <v>127</v>
      </c>
      <c r="D124" s="6" t="str">
        <f t="shared" si="1"/>
        <v>MIDUSSocial Security Number</v>
      </c>
      <c r="E124" s="19" t="s">
        <v>36</v>
      </c>
      <c r="F124" s="19" t="s">
        <v>30</v>
      </c>
      <c r="G124" s="19" t="s">
        <v>30</v>
      </c>
    </row>
    <row r="125" spans="1:7" x14ac:dyDescent="0.3">
      <c r="A125" s="6" t="s">
        <v>570</v>
      </c>
      <c r="B125" s="6" t="s">
        <v>218</v>
      </c>
      <c r="C125" s="6" t="s">
        <v>128</v>
      </c>
      <c r="D125" s="6" t="str">
        <f t="shared" si="1"/>
        <v>MIDUSMedicare or Medicaid Beneficiary Number</v>
      </c>
      <c r="E125" s="19" t="s">
        <v>36</v>
      </c>
      <c r="F125" s="19" t="s">
        <v>30</v>
      </c>
      <c r="G125" s="19" t="s">
        <v>30</v>
      </c>
    </row>
    <row r="126" spans="1:7" x14ac:dyDescent="0.3">
      <c r="A126" s="6" t="s">
        <v>570</v>
      </c>
      <c r="B126" s="6" t="s">
        <v>218</v>
      </c>
      <c r="C126" s="6" t="s">
        <v>129</v>
      </c>
      <c r="D126" s="6" t="str">
        <f t="shared" si="1"/>
        <v>MIDUSSurname</v>
      </c>
      <c r="E126" s="19" t="s">
        <v>36</v>
      </c>
      <c r="F126" s="19" t="s">
        <v>30</v>
      </c>
      <c r="G126" s="19" t="s">
        <v>30</v>
      </c>
    </row>
    <row r="127" spans="1:7" x14ac:dyDescent="0.3">
      <c r="A127" s="6" t="s">
        <v>570</v>
      </c>
      <c r="B127" s="6" t="s">
        <v>218</v>
      </c>
      <c r="C127" s="6" t="s">
        <v>130</v>
      </c>
      <c r="D127" s="6" t="str">
        <f t="shared" si="1"/>
        <v>MIDUSBeneficiary Identification Number (BID) [Random]</v>
      </c>
      <c r="E127" s="19" t="s">
        <v>34</v>
      </c>
      <c r="F127" s="19" t="s">
        <v>30</v>
      </c>
      <c r="G127" s="19" t="s">
        <v>30</v>
      </c>
    </row>
    <row r="128" spans="1:7" x14ac:dyDescent="0.3">
      <c r="A128" s="6" t="s">
        <v>570</v>
      </c>
      <c r="B128" s="6" t="s">
        <v>218</v>
      </c>
      <c r="C128" s="6" t="s">
        <v>207</v>
      </c>
      <c r="D128" s="6" t="str">
        <f t="shared" si="1"/>
        <v>MIDUSDate of Birth</v>
      </c>
      <c r="E128" s="20" t="s">
        <v>131</v>
      </c>
      <c r="F128" s="19" t="s">
        <v>30</v>
      </c>
      <c r="G128" s="19" t="s">
        <v>30</v>
      </c>
    </row>
    <row r="129" spans="1:7" x14ac:dyDescent="0.3">
      <c r="A129" s="6" t="s">
        <v>570</v>
      </c>
      <c r="B129" s="6" t="s">
        <v>218</v>
      </c>
      <c r="C129" s="6" t="s">
        <v>208</v>
      </c>
      <c r="D129" s="6" t="str">
        <f t="shared" si="1"/>
        <v>MIDUSGender/Race</v>
      </c>
      <c r="E129" s="20" t="s">
        <v>131</v>
      </c>
      <c r="F129" s="19" t="s">
        <v>30</v>
      </c>
      <c r="G129" s="19" t="s">
        <v>30</v>
      </c>
    </row>
    <row r="130" spans="1:7" x14ac:dyDescent="0.3">
      <c r="A130" s="6" t="s">
        <v>570</v>
      </c>
      <c r="B130" s="6" t="s">
        <v>218</v>
      </c>
      <c r="C130" s="6" t="s">
        <v>132</v>
      </c>
      <c r="D130" s="6" t="str">
        <f t="shared" si="1"/>
        <v>MIDUSExact Dates of Service</v>
      </c>
      <c r="E130" s="20" t="s">
        <v>131</v>
      </c>
      <c r="F130" s="19" t="s">
        <v>30</v>
      </c>
      <c r="G130" s="19" t="s">
        <v>30</v>
      </c>
    </row>
    <row r="131" spans="1:7" x14ac:dyDescent="0.3">
      <c r="A131" s="6" t="s">
        <v>570</v>
      </c>
      <c r="B131" s="6" t="s">
        <v>218</v>
      </c>
      <c r="C131" s="6" t="s">
        <v>133</v>
      </c>
      <c r="D131" s="6" t="str">
        <f t="shared" si="1"/>
        <v>MIDUSBeneficiary State Code/County Code/Zip Code</v>
      </c>
      <c r="E131" s="20" t="s">
        <v>35</v>
      </c>
      <c r="F131" s="19" t="s">
        <v>30</v>
      </c>
      <c r="G131" s="19" t="s">
        <v>30</v>
      </c>
    </row>
    <row r="132" spans="1:7" x14ac:dyDescent="0.3">
      <c r="A132" s="6" t="s">
        <v>570</v>
      </c>
      <c r="B132" s="6" t="s">
        <v>218</v>
      </c>
      <c r="C132" s="6" t="s">
        <v>134</v>
      </c>
      <c r="D132" s="6" t="str">
        <f t="shared" si="1"/>
        <v>MIDUSProvider Characteristics (e.g., National Provider Identifiers (NPIs), Unique Provider Identification Numbers (UPINs))</v>
      </c>
      <c r="E132" s="20" t="s">
        <v>34</v>
      </c>
      <c r="F132" s="19" t="s">
        <v>30</v>
      </c>
      <c r="G132" s="19" t="s">
        <v>30</v>
      </c>
    </row>
    <row r="133" spans="1:7" x14ac:dyDescent="0.3">
      <c r="A133" s="6" t="s">
        <v>570</v>
      </c>
      <c r="B133" s="6" t="s">
        <v>218</v>
      </c>
      <c r="C133" s="6" t="s">
        <v>135</v>
      </c>
      <c r="D133" s="6" t="str">
        <f t="shared" ref="D133:D196" si="2">CONCATENATE(B133,C133)</f>
        <v>MIDUSCMS Certification Number (CCN)</v>
      </c>
      <c r="E133" s="20" t="s">
        <v>34</v>
      </c>
      <c r="F133" s="19" t="s">
        <v>30</v>
      </c>
      <c r="G133" s="19" t="s">
        <v>30</v>
      </c>
    </row>
    <row r="134" spans="1:7" x14ac:dyDescent="0.3">
      <c r="A134" s="6" t="s">
        <v>570</v>
      </c>
      <c r="B134" s="6" t="s">
        <v>218</v>
      </c>
      <c r="C134" s="6" t="s">
        <v>136</v>
      </c>
      <c r="D134" s="6" t="str">
        <f t="shared" si="2"/>
        <v>MIDUSHospitals/Facilities</v>
      </c>
      <c r="E134" s="20" t="s">
        <v>34</v>
      </c>
      <c r="F134" s="19" t="s">
        <v>30</v>
      </c>
      <c r="G134" s="19" t="s">
        <v>30</v>
      </c>
    </row>
    <row r="135" spans="1:7" x14ac:dyDescent="0.3">
      <c r="A135" s="6" t="s">
        <v>570</v>
      </c>
      <c r="B135" s="6" t="s">
        <v>218</v>
      </c>
      <c r="C135" s="6" t="s">
        <v>137</v>
      </c>
      <c r="D135" s="6" t="str">
        <f t="shared" si="2"/>
        <v>MIDUSPart C/D Health Plans</v>
      </c>
      <c r="E135" s="20" t="s">
        <v>110</v>
      </c>
      <c r="F135" s="19" t="s">
        <v>30</v>
      </c>
      <c r="G135" s="19" t="s">
        <v>30</v>
      </c>
    </row>
    <row r="136" spans="1:7" x14ac:dyDescent="0.3">
      <c r="A136" s="6" t="s">
        <v>102</v>
      </c>
      <c r="B136" s="6" t="s">
        <v>219</v>
      </c>
      <c r="C136" s="6" t="s">
        <v>127</v>
      </c>
      <c r="D136" s="6" t="str">
        <f t="shared" si="2"/>
        <v>NHATSSocial Security Number</v>
      </c>
      <c r="E136" s="19" t="s">
        <v>36</v>
      </c>
      <c r="F136" s="19" t="s">
        <v>30</v>
      </c>
      <c r="G136" s="19" t="s">
        <v>36</v>
      </c>
    </row>
    <row r="137" spans="1:7" x14ac:dyDescent="0.3">
      <c r="A137" s="6" t="s">
        <v>102</v>
      </c>
      <c r="B137" s="6" t="s">
        <v>219</v>
      </c>
      <c r="C137" s="6" t="s">
        <v>128</v>
      </c>
      <c r="D137" s="6" t="str">
        <f t="shared" si="2"/>
        <v>NHATSMedicare or Medicaid Beneficiary Number</v>
      </c>
      <c r="E137" s="19" t="s">
        <v>36</v>
      </c>
      <c r="F137" s="19" t="s">
        <v>30</v>
      </c>
      <c r="G137" s="19" t="s">
        <v>36</v>
      </c>
    </row>
    <row r="138" spans="1:7" x14ac:dyDescent="0.3">
      <c r="A138" s="6" t="s">
        <v>102</v>
      </c>
      <c r="B138" s="6" t="s">
        <v>219</v>
      </c>
      <c r="C138" s="6" t="s">
        <v>129</v>
      </c>
      <c r="D138" s="6" t="str">
        <f t="shared" si="2"/>
        <v>NHATSSurname</v>
      </c>
      <c r="E138" s="19" t="s">
        <v>36</v>
      </c>
      <c r="F138" s="19" t="s">
        <v>30</v>
      </c>
      <c r="G138" s="19" t="s">
        <v>36</v>
      </c>
    </row>
    <row r="139" spans="1:7" x14ac:dyDescent="0.3">
      <c r="A139" s="6" t="s">
        <v>102</v>
      </c>
      <c r="B139" s="6" t="s">
        <v>219</v>
      </c>
      <c r="C139" s="6" t="s">
        <v>130</v>
      </c>
      <c r="D139" s="6" t="str">
        <f t="shared" si="2"/>
        <v>NHATSBeneficiary Identification Number (BID) [Random]</v>
      </c>
      <c r="E139" s="19" t="s">
        <v>34</v>
      </c>
      <c r="F139" s="19" t="s">
        <v>30</v>
      </c>
      <c r="G139" s="19" t="s">
        <v>34</v>
      </c>
    </row>
    <row r="140" spans="1:7" x14ac:dyDescent="0.3">
      <c r="A140" s="6" t="s">
        <v>102</v>
      </c>
      <c r="B140" s="6" t="s">
        <v>219</v>
      </c>
      <c r="C140" s="6" t="s">
        <v>207</v>
      </c>
      <c r="D140" s="6" t="str">
        <f t="shared" si="2"/>
        <v>NHATSDate of Birth</v>
      </c>
      <c r="E140" s="20" t="s">
        <v>131</v>
      </c>
      <c r="F140" s="19" t="s">
        <v>30</v>
      </c>
      <c r="G140" s="20" t="s">
        <v>131</v>
      </c>
    </row>
    <row r="141" spans="1:7" x14ac:dyDescent="0.3">
      <c r="A141" s="6" t="s">
        <v>102</v>
      </c>
      <c r="B141" s="6" t="s">
        <v>219</v>
      </c>
      <c r="C141" s="6" t="s">
        <v>208</v>
      </c>
      <c r="D141" s="6" t="str">
        <f t="shared" si="2"/>
        <v>NHATSGender/Race</v>
      </c>
      <c r="E141" s="20" t="s">
        <v>131</v>
      </c>
      <c r="F141" s="19" t="s">
        <v>30</v>
      </c>
      <c r="G141" s="20" t="s">
        <v>131</v>
      </c>
    </row>
    <row r="142" spans="1:7" x14ac:dyDescent="0.3">
      <c r="A142" s="6" t="s">
        <v>102</v>
      </c>
      <c r="B142" s="6" t="s">
        <v>219</v>
      </c>
      <c r="C142" s="6" t="s">
        <v>132</v>
      </c>
      <c r="D142" s="6" t="str">
        <f t="shared" si="2"/>
        <v>NHATSExact Dates of Service</v>
      </c>
      <c r="E142" s="20" t="s">
        <v>131</v>
      </c>
      <c r="F142" s="19" t="s">
        <v>30</v>
      </c>
      <c r="G142" s="20" t="s">
        <v>131</v>
      </c>
    </row>
    <row r="143" spans="1:7" x14ac:dyDescent="0.3">
      <c r="A143" s="6" t="s">
        <v>102</v>
      </c>
      <c r="B143" s="6" t="s">
        <v>219</v>
      </c>
      <c r="C143" s="6" t="s">
        <v>133</v>
      </c>
      <c r="D143" s="6" t="str">
        <f t="shared" si="2"/>
        <v>NHATSBeneficiary State Code/County Code/Zip Code</v>
      </c>
      <c r="E143" s="20" t="s">
        <v>36</v>
      </c>
      <c r="F143" s="19" t="s">
        <v>30</v>
      </c>
      <c r="G143" s="20" t="s">
        <v>36</v>
      </c>
    </row>
    <row r="144" spans="1:7" x14ac:dyDescent="0.3">
      <c r="A144" s="6" t="s">
        <v>102</v>
      </c>
      <c r="B144" s="6" t="s">
        <v>219</v>
      </c>
      <c r="C144" s="6" t="s">
        <v>134</v>
      </c>
      <c r="D144" s="6" t="str">
        <f t="shared" si="2"/>
        <v>NHATSProvider Characteristics (e.g., National Provider Identifiers (NPIs), Unique Provider Identification Numbers (UPINs))</v>
      </c>
      <c r="E144" s="19" t="s">
        <v>36</v>
      </c>
      <c r="F144" s="19" t="s">
        <v>30</v>
      </c>
      <c r="G144" s="20" t="s">
        <v>131</v>
      </c>
    </row>
    <row r="145" spans="1:7" x14ac:dyDescent="0.3">
      <c r="A145" s="6" t="s">
        <v>102</v>
      </c>
      <c r="B145" s="6" t="s">
        <v>219</v>
      </c>
      <c r="C145" s="6" t="s">
        <v>135</v>
      </c>
      <c r="D145" s="6" t="str">
        <f t="shared" si="2"/>
        <v>NHATSCMS Certification Number (CCN)</v>
      </c>
      <c r="E145" s="19" t="s">
        <v>36</v>
      </c>
      <c r="F145" s="19" t="s">
        <v>30</v>
      </c>
      <c r="G145" s="20" t="s">
        <v>131</v>
      </c>
    </row>
    <row r="146" spans="1:7" x14ac:dyDescent="0.3">
      <c r="A146" s="6" t="s">
        <v>102</v>
      </c>
      <c r="B146" s="6" t="s">
        <v>219</v>
      </c>
      <c r="C146" s="6" t="s">
        <v>136</v>
      </c>
      <c r="D146" s="6" t="str">
        <f t="shared" si="2"/>
        <v>NHATSHospitals/Facilities</v>
      </c>
      <c r="E146" s="19" t="s">
        <v>36</v>
      </c>
      <c r="F146" s="19" t="s">
        <v>30</v>
      </c>
      <c r="G146" s="20" t="s">
        <v>131</v>
      </c>
    </row>
    <row r="147" spans="1:7" x14ac:dyDescent="0.3">
      <c r="A147" s="6" t="s">
        <v>102</v>
      </c>
      <c r="B147" s="6" t="s">
        <v>219</v>
      </c>
      <c r="C147" s="6" t="s">
        <v>137</v>
      </c>
      <c r="D147" s="6" t="str">
        <f t="shared" si="2"/>
        <v>NHATSPart C/D Health Plans</v>
      </c>
      <c r="E147" s="19" t="s">
        <v>110</v>
      </c>
      <c r="F147" s="19" t="s">
        <v>30</v>
      </c>
      <c r="G147" s="20" t="s">
        <v>131</v>
      </c>
    </row>
    <row r="148" spans="1:7" x14ac:dyDescent="0.3">
      <c r="A148" s="6" t="s">
        <v>106</v>
      </c>
      <c r="B148" s="6" t="s">
        <v>32</v>
      </c>
      <c r="C148" s="6" t="s">
        <v>127</v>
      </c>
      <c r="D148" s="6" t="str">
        <f t="shared" si="2"/>
        <v>NLTCSSocial Security Number</v>
      </c>
      <c r="E148" s="19" t="s">
        <v>36</v>
      </c>
      <c r="F148" s="19" t="s">
        <v>30</v>
      </c>
      <c r="G148" s="19" t="s">
        <v>30</v>
      </c>
    </row>
    <row r="149" spans="1:7" x14ac:dyDescent="0.3">
      <c r="A149" s="6" t="s">
        <v>106</v>
      </c>
      <c r="B149" s="6" t="s">
        <v>32</v>
      </c>
      <c r="C149" s="6" t="s">
        <v>128</v>
      </c>
      <c r="D149" s="6" t="str">
        <f t="shared" si="2"/>
        <v>NLTCSMedicare or Medicaid Beneficiary Number</v>
      </c>
      <c r="E149" s="19" t="s">
        <v>36</v>
      </c>
      <c r="F149" s="19" t="s">
        <v>30</v>
      </c>
      <c r="G149" s="19" t="s">
        <v>30</v>
      </c>
    </row>
    <row r="150" spans="1:7" x14ac:dyDescent="0.3">
      <c r="A150" s="6" t="s">
        <v>106</v>
      </c>
      <c r="B150" s="6" t="s">
        <v>32</v>
      </c>
      <c r="C150" s="6" t="s">
        <v>129</v>
      </c>
      <c r="D150" s="6" t="str">
        <f t="shared" si="2"/>
        <v>NLTCSSurname</v>
      </c>
      <c r="E150" s="19" t="s">
        <v>36</v>
      </c>
      <c r="F150" s="19" t="s">
        <v>30</v>
      </c>
      <c r="G150" s="19" t="s">
        <v>30</v>
      </c>
    </row>
    <row r="151" spans="1:7" x14ac:dyDescent="0.3">
      <c r="A151" s="6" t="s">
        <v>106</v>
      </c>
      <c r="B151" s="6" t="s">
        <v>32</v>
      </c>
      <c r="C151" s="6" t="s">
        <v>130</v>
      </c>
      <c r="D151" s="6" t="str">
        <f t="shared" si="2"/>
        <v>NLTCSBeneficiary Identification Number (BID) [Random]</v>
      </c>
      <c r="E151" s="19" t="s">
        <v>34</v>
      </c>
      <c r="F151" s="19" t="s">
        <v>30</v>
      </c>
      <c r="G151" s="19" t="s">
        <v>30</v>
      </c>
    </row>
    <row r="152" spans="1:7" x14ac:dyDescent="0.3">
      <c r="A152" s="6" t="s">
        <v>106</v>
      </c>
      <c r="B152" s="6" t="s">
        <v>32</v>
      </c>
      <c r="C152" s="6" t="s">
        <v>207</v>
      </c>
      <c r="D152" s="6" t="str">
        <f t="shared" si="2"/>
        <v>NLTCSDate of Birth</v>
      </c>
      <c r="E152" s="20" t="s">
        <v>110</v>
      </c>
      <c r="F152" s="19" t="s">
        <v>30</v>
      </c>
      <c r="G152" s="19" t="s">
        <v>30</v>
      </c>
    </row>
    <row r="153" spans="1:7" x14ac:dyDescent="0.3">
      <c r="A153" s="6" t="s">
        <v>106</v>
      </c>
      <c r="B153" s="6" t="s">
        <v>32</v>
      </c>
      <c r="C153" s="6" t="s">
        <v>208</v>
      </c>
      <c r="D153" s="6" t="str">
        <f t="shared" si="2"/>
        <v>NLTCSGender/Race</v>
      </c>
      <c r="E153" s="20" t="s">
        <v>131</v>
      </c>
      <c r="F153" s="19" t="s">
        <v>30</v>
      </c>
      <c r="G153" s="19" t="s">
        <v>30</v>
      </c>
    </row>
    <row r="154" spans="1:7" x14ac:dyDescent="0.3">
      <c r="A154" s="6" t="s">
        <v>106</v>
      </c>
      <c r="B154" s="6" t="s">
        <v>32</v>
      </c>
      <c r="C154" s="6" t="s">
        <v>132</v>
      </c>
      <c r="D154" s="6" t="str">
        <f t="shared" si="2"/>
        <v>NLTCSExact Dates of Service</v>
      </c>
      <c r="E154" s="20" t="s">
        <v>131</v>
      </c>
      <c r="F154" s="19" t="s">
        <v>30</v>
      </c>
      <c r="G154" s="19" t="s">
        <v>30</v>
      </c>
    </row>
    <row r="155" spans="1:7" x14ac:dyDescent="0.3">
      <c r="A155" s="6" t="s">
        <v>106</v>
      </c>
      <c r="B155" s="6" t="s">
        <v>32</v>
      </c>
      <c r="C155" s="6" t="s">
        <v>133</v>
      </c>
      <c r="D155" s="6" t="str">
        <f t="shared" si="2"/>
        <v>NLTCSBeneficiary State Code/County Code/Zip Code</v>
      </c>
      <c r="E155" s="20" t="s">
        <v>35</v>
      </c>
      <c r="F155" s="19" t="s">
        <v>30</v>
      </c>
      <c r="G155" s="19" t="s">
        <v>30</v>
      </c>
    </row>
    <row r="156" spans="1:7" x14ac:dyDescent="0.3">
      <c r="A156" s="6" t="s">
        <v>106</v>
      </c>
      <c r="B156" s="6" t="s">
        <v>32</v>
      </c>
      <c r="C156" s="6" t="s">
        <v>134</v>
      </c>
      <c r="D156" s="6" t="str">
        <f t="shared" si="2"/>
        <v>NLTCSProvider Characteristics (e.g., National Provider Identifiers (NPIs), Unique Provider Identification Numbers (UPINs))</v>
      </c>
      <c r="E156" s="19" t="s">
        <v>34</v>
      </c>
      <c r="F156" s="19" t="s">
        <v>30</v>
      </c>
      <c r="G156" s="19" t="s">
        <v>30</v>
      </c>
    </row>
    <row r="157" spans="1:7" x14ac:dyDescent="0.3">
      <c r="A157" s="6" t="s">
        <v>106</v>
      </c>
      <c r="B157" s="6" t="s">
        <v>32</v>
      </c>
      <c r="C157" s="6" t="s">
        <v>135</v>
      </c>
      <c r="D157" s="6" t="str">
        <f t="shared" si="2"/>
        <v>NLTCSCMS Certification Number (CCN)</v>
      </c>
      <c r="E157" s="19" t="s">
        <v>34</v>
      </c>
      <c r="F157" s="19" t="s">
        <v>30</v>
      </c>
      <c r="G157" s="19" t="s">
        <v>30</v>
      </c>
    </row>
    <row r="158" spans="1:7" x14ac:dyDescent="0.3">
      <c r="A158" s="6" t="s">
        <v>106</v>
      </c>
      <c r="B158" s="6" t="s">
        <v>32</v>
      </c>
      <c r="C158" s="6" t="s">
        <v>136</v>
      </c>
      <c r="D158" s="6" t="str">
        <f t="shared" si="2"/>
        <v>NLTCSHospitals/Facilities</v>
      </c>
      <c r="E158" s="19" t="s">
        <v>34</v>
      </c>
      <c r="F158" s="19" t="s">
        <v>30</v>
      </c>
      <c r="G158" s="19" t="s">
        <v>30</v>
      </c>
    </row>
    <row r="159" spans="1:7" x14ac:dyDescent="0.3">
      <c r="A159" s="6" t="s">
        <v>106</v>
      </c>
      <c r="B159" s="6" t="s">
        <v>32</v>
      </c>
      <c r="C159" s="6" t="s">
        <v>137</v>
      </c>
      <c r="D159" s="6" t="str">
        <f t="shared" si="2"/>
        <v>NLTCSPart C/D Health Plans</v>
      </c>
      <c r="E159" s="19" t="s">
        <v>110</v>
      </c>
      <c r="F159" s="19" t="s">
        <v>30</v>
      </c>
      <c r="G159" s="19" t="s">
        <v>30</v>
      </c>
    </row>
    <row r="160" spans="1:7" x14ac:dyDescent="0.3">
      <c r="A160" s="6" t="s">
        <v>103</v>
      </c>
      <c r="B160" s="6" t="s">
        <v>220</v>
      </c>
      <c r="C160" s="6" t="s">
        <v>127</v>
      </c>
      <c r="D160" s="6" t="str">
        <f t="shared" si="2"/>
        <v>NSHAPSocial Security Number</v>
      </c>
      <c r="E160" s="19" t="s">
        <v>36</v>
      </c>
      <c r="F160" s="19" t="s">
        <v>36</v>
      </c>
      <c r="G160" s="19" t="s">
        <v>36</v>
      </c>
    </row>
    <row r="161" spans="1:7" x14ac:dyDescent="0.3">
      <c r="A161" s="6" t="s">
        <v>103</v>
      </c>
      <c r="B161" s="6" t="s">
        <v>220</v>
      </c>
      <c r="C161" s="6" t="s">
        <v>128</v>
      </c>
      <c r="D161" s="6" t="str">
        <f t="shared" si="2"/>
        <v>NSHAPMedicare or Medicaid Beneficiary Number</v>
      </c>
      <c r="E161" s="19" t="s">
        <v>36</v>
      </c>
      <c r="F161" s="19" t="s">
        <v>36</v>
      </c>
      <c r="G161" s="19" t="s">
        <v>36</v>
      </c>
    </row>
    <row r="162" spans="1:7" x14ac:dyDescent="0.3">
      <c r="A162" s="6" t="s">
        <v>103</v>
      </c>
      <c r="B162" s="6" t="s">
        <v>220</v>
      </c>
      <c r="C162" s="6" t="s">
        <v>129</v>
      </c>
      <c r="D162" s="6" t="str">
        <f t="shared" si="2"/>
        <v>NSHAPSurname</v>
      </c>
      <c r="E162" s="19" t="s">
        <v>36</v>
      </c>
      <c r="F162" s="19" t="s">
        <v>36</v>
      </c>
      <c r="G162" s="19" t="s">
        <v>36</v>
      </c>
    </row>
    <row r="163" spans="1:7" x14ac:dyDescent="0.3">
      <c r="A163" s="6" t="s">
        <v>103</v>
      </c>
      <c r="B163" s="6" t="s">
        <v>220</v>
      </c>
      <c r="C163" s="6" t="s">
        <v>130</v>
      </c>
      <c r="D163" s="6" t="str">
        <f t="shared" si="2"/>
        <v>NSHAPBeneficiary Identification Number (BID) [Random]</v>
      </c>
      <c r="E163" s="19" t="s">
        <v>34</v>
      </c>
      <c r="F163" s="19" t="s">
        <v>34</v>
      </c>
      <c r="G163" s="19" t="s">
        <v>34</v>
      </c>
    </row>
    <row r="164" spans="1:7" x14ac:dyDescent="0.3">
      <c r="A164" s="6" t="s">
        <v>103</v>
      </c>
      <c r="B164" s="6" t="s">
        <v>220</v>
      </c>
      <c r="C164" s="6" t="s">
        <v>207</v>
      </c>
      <c r="D164" s="6" t="str">
        <f t="shared" si="2"/>
        <v>NSHAPDate of Birth</v>
      </c>
      <c r="E164" s="20" t="s">
        <v>131</v>
      </c>
      <c r="F164" s="20" t="s">
        <v>131</v>
      </c>
      <c r="G164" s="20" t="s">
        <v>131</v>
      </c>
    </row>
    <row r="165" spans="1:7" x14ac:dyDescent="0.3">
      <c r="A165" s="6" t="s">
        <v>103</v>
      </c>
      <c r="B165" s="6" t="s">
        <v>220</v>
      </c>
      <c r="C165" s="6" t="s">
        <v>208</v>
      </c>
      <c r="D165" s="6" t="str">
        <f t="shared" si="2"/>
        <v>NSHAPGender/Race</v>
      </c>
      <c r="E165" s="20" t="s">
        <v>131</v>
      </c>
      <c r="F165" s="20" t="s">
        <v>131</v>
      </c>
      <c r="G165" s="20" t="s">
        <v>131</v>
      </c>
    </row>
    <row r="166" spans="1:7" x14ac:dyDescent="0.3">
      <c r="A166" s="6" t="s">
        <v>103</v>
      </c>
      <c r="B166" s="6" t="s">
        <v>220</v>
      </c>
      <c r="C166" s="6" t="s">
        <v>132</v>
      </c>
      <c r="D166" s="6" t="str">
        <f t="shared" si="2"/>
        <v>NSHAPExact Dates of Service</v>
      </c>
      <c r="E166" s="20" t="s">
        <v>131</v>
      </c>
      <c r="F166" s="20" t="s">
        <v>131</v>
      </c>
      <c r="G166" s="20" t="s">
        <v>131</v>
      </c>
    </row>
    <row r="167" spans="1:7" x14ac:dyDescent="0.3">
      <c r="A167" s="6" t="s">
        <v>103</v>
      </c>
      <c r="B167" s="6" t="s">
        <v>220</v>
      </c>
      <c r="C167" s="6" t="s">
        <v>133</v>
      </c>
      <c r="D167" s="6" t="str">
        <f t="shared" si="2"/>
        <v>NSHAPBeneficiary State Code/County Code/Zip Code</v>
      </c>
      <c r="E167" s="20" t="s">
        <v>35</v>
      </c>
      <c r="F167" s="20" t="s">
        <v>131</v>
      </c>
      <c r="G167" s="20" t="s">
        <v>131</v>
      </c>
    </row>
    <row r="168" spans="1:7" x14ac:dyDescent="0.3">
      <c r="A168" s="6" t="s">
        <v>103</v>
      </c>
      <c r="B168" s="6" t="s">
        <v>220</v>
      </c>
      <c r="C168" s="6" t="s">
        <v>134</v>
      </c>
      <c r="D168" s="6" t="str">
        <f t="shared" si="2"/>
        <v>NSHAPProvider Characteristics (e.g., National Provider Identifiers (NPIs), Unique Provider Identification Numbers (UPINs))</v>
      </c>
      <c r="E168" s="19" t="s">
        <v>34</v>
      </c>
      <c r="F168" s="19" t="s">
        <v>34</v>
      </c>
      <c r="G168" s="20" t="s">
        <v>131</v>
      </c>
    </row>
    <row r="169" spans="1:7" x14ac:dyDescent="0.3">
      <c r="A169" s="6" t="s">
        <v>103</v>
      </c>
      <c r="B169" s="6" t="s">
        <v>220</v>
      </c>
      <c r="C169" s="6" t="s">
        <v>135</v>
      </c>
      <c r="D169" s="6" t="str">
        <f t="shared" si="2"/>
        <v>NSHAPCMS Certification Number (CCN)</v>
      </c>
      <c r="E169" s="19" t="s">
        <v>34</v>
      </c>
      <c r="F169" s="19" t="s">
        <v>34</v>
      </c>
      <c r="G169" s="20" t="s">
        <v>131</v>
      </c>
    </row>
    <row r="170" spans="1:7" x14ac:dyDescent="0.3">
      <c r="A170" s="6" t="s">
        <v>103</v>
      </c>
      <c r="B170" s="6" t="s">
        <v>220</v>
      </c>
      <c r="C170" s="6" t="s">
        <v>136</v>
      </c>
      <c r="D170" s="6" t="str">
        <f t="shared" si="2"/>
        <v>NSHAPHospitals/Facilities</v>
      </c>
      <c r="E170" s="19" t="s">
        <v>34</v>
      </c>
      <c r="F170" s="19" t="s">
        <v>34</v>
      </c>
      <c r="G170" s="20" t="s">
        <v>131</v>
      </c>
    </row>
    <row r="171" spans="1:7" x14ac:dyDescent="0.3">
      <c r="A171" s="6" t="s">
        <v>103</v>
      </c>
      <c r="B171" s="6" t="s">
        <v>220</v>
      </c>
      <c r="C171" s="6" t="s">
        <v>137</v>
      </c>
      <c r="D171" s="6" t="str">
        <f t="shared" si="2"/>
        <v>NSHAPPart C/D Health Plans</v>
      </c>
      <c r="E171" s="19" t="s">
        <v>110</v>
      </c>
      <c r="F171" s="19" t="s">
        <v>110</v>
      </c>
      <c r="G171" s="20" t="s">
        <v>131</v>
      </c>
    </row>
    <row r="172" spans="1:7" x14ac:dyDescent="0.3">
      <c r="A172" s="6" t="s">
        <v>107</v>
      </c>
      <c r="B172" s="6" t="s">
        <v>221</v>
      </c>
      <c r="C172" s="6" t="s">
        <v>127</v>
      </c>
      <c r="D172" s="6" t="str">
        <f t="shared" si="2"/>
        <v>PSIDSocial Security Number</v>
      </c>
      <c r="E172" s="19" t="s">
        <v>36</v>
      </c>
      <c r="F172" s="19" t="s">
        <v>30</v>
      </c>
      <c r="G172" s="19" t="s">
        <v>30</v>
      </c>
    </row>
    <row r="173" spans="1:7" x14ac:dyDescent="0.3">
      <c r="A173" s="6" t="s">
        <v>107</v>
      </c>
      <c r="B173" s="6" t="s">
        <v>221</v>
      </c>
      <c r="C173" s="6" t="s">
        <v>128</v>
      </c>
      <c r="D173" s="6" t="str">
        <f t="shared" si="2"/>
        <v>PSIDMedicare or Medicaid Beneficiary Number</v>
      </c>
      <c r="E173" s="19" t="s">
        <v>36</v>
      </c>
      <c r="F173" s="19" t="s">
        <v>30</v>
      </c>
      <c r="G173" s="19" t="s">
        <v>30</v>
      </c>
    </row>
    <row r="174" spans="1:7" x14ac:dyDescent="0.3">
      <c r="A174" s="6" t="s">
        <v>107</v>
      </c>
      <c r="B174" s="6" t="s">
        <v>221</v>
      </c>
      <c r="C174" s="6" t="s">
        <v>129</v>
      </c>
      <c r="D174" s="6" t="str">
        <f t="shared" si="2"/>
        <v>PSIDSurname</v>
      </c>
      <c r="E174" s="19" t="s">
        <v>36</v>
      </c>
      <c r="F174" s="19" t="s">
        <v>30</v>
      </c>
      <c r="G174" s="19" t="s">
        <v>30</v>
      </c>
    </row>
    <row r="175" spans="1:7" x14ac:dyDescent="0.3">
      <c r="A175" s="6" t="s">
        <v>107</v>
      </c>
      <c r="B175" s="6" t="s">
        <v>221</v>
      </c>
      <c r="C175" s="6" t="s">
        <v>130</v>
      </c>
      <c r="D175" s="6" t="str">
        <f t="shared" si="2"/>
        <v>PSIDBeneficiary Identification Number (BID) [Random]</v>
      </c>
      <c r="E175" s="19" t="s">
        <v>34</v>
      </c>
      <c r="F175" s="19" t="s">
        <v>30</v>
      </c>
      <c r="G175" s="19" t="s">
        <v>30</v>
      </c>
    </row>
    <row r="176" spans="1:7" x14ac:dyDescent="0.3">
      <c r="A176" s="6" t="s">
        <v>107</v>
      </c>
      <c r="B176" s="6" t="s">
        <v>221</v>
      </c>
      <c r="C176" s="6" t="s">
        <v>207</v>
      </c>
      <c r="D176" s="6" t="str">
        <f t="shared" si="2"/>
        <v>PSIDDate of Birth</v>
      </c>
      <c r="E176" s="20" t="s">
        <v>110</v>
      </c>
      <c r="F176" s="19" t="s">
        <v>30</v>
      </c>
      <c r="G176" s="19" t="s">
        <v>30</v>
      </c>
    </row>
    <row r="177" spans="1:7" x14ac:dyDescent="0.3">
      <c r="A177" s="6" t="s">
        <v>107</v>
      </c>
      <c r="B177" s="6" t="s">
        <v>221</v>
      </c>
      <c r="C177" s="6" t="s">
        <v>208</v>
      </c>
      <c r="D177" s="6" t="str">
        <f t="shared" si="2"/>
        <v>PSIDGender/Race</v>
      </c>
      <c r="E177" s="20" t="s">
        <v>131</v>
      </c>
      <c r="F177" s="19" t="s">
        <v>30</v>
      </c>
      <c r="G177" s="19" t="s">
        <v>30</v>
      </c>
    </row>
    <row r="178" spans="1:7" x14ac:dyDescent="0.3">
      <c r="A178" s="6" t="s">
        <v>107</v>
      </c>
      <c r="B178" s="6" t="s">
        <v>221</v>
      </c>
      <c r="C178" s="6" t="s">
        <v>132</v>
      </c>
      <c r="D178" s="6" t="str">
        <f t="shared" si="2"/>
        <v>PSIDExact Dates of Service</v>
      </c>
      <c r="E178" s="20" t="s">
        <v>131</v>
      </c>
      <c r="F178" s="19" t="s">
        <v>30</v>
      </c>
      <c r="G178" s="19" t="s">
        <v>30</v>
      </c>
    </row>
    <row r="179" spans="1:7" x14ac:dyDescent="0.3">
      <c r="A179" s="6" t="s">
        <v>107</v>
      </c>
      <c r="B179" s="6" t="s">
        <v>221</v>
      </c>
      <c r="C179" s="6" t="s">
        <v>133</v>
      </c>
      <c r="D179" s="6" t="str">
        <f t="shared" si="2"/>
        <v>PSIDBeneficiary State Code/County Code/Zip Code</v>
      </c>
      <c r="E179" s="20" t="s">
        <v>35</v>
      </c>
      <c r="F179" s="19" t="s">
        <v>30</v>
      </c>
      <c r="G179" s="19" t="s">
        <v>30</v>
      </c>
    </row>
    <row r="180" spans="1:7" x14ac:dyDescent="0.3">
      <c r="A180" s="6" t="s">
        <v>107</v>
      </c>
      <c r="B180" s="6" t="s">
        <v>221</v>
      </c>
      <c r="C180" s="6" t="s">
        <v>134</v>
      </c>
      <c r="D180" s="6" t="str">
        <f t="shared" si="2"/>
        <v>PSIDProvider Characteristics (e.g., National Provider Identifiers (NPIs), Unique Provider Identification Numbers (UPINs))</v>
      </c>
      <c r="E180" s="19" t="s">
        <v>34</v>
      </c>
      <c r="F180" s="19" t="s">
        <v>30</v>
      </c>
      <c r="G180" s="19" t="s">
        <v>30</v>
      </c>
    </row>
    <row r="181" spans="1:7" x14ac:dyDescent="0.3">
      <c r="A181" s="6" t="s">
        <v>107</v>
      </c>
      <c r="B181" s="6" t="s">
        <v>221</v>
      </c>
      <c r="C181" s="6" t="s">
        <v>135</v>
      </c>
      <c r="D181" s="6" t="str">
        <f t="shared" si="2"/>
        <v>PSIDCMS Certification Number (CCN)</v>
      </c>
      <c r="E181" s="19" t="s">
        <v>34</v>
      </c>
      <c r="F181" s="19" t="s">
        <v>30</v>
      </c>
      <c r="G181" s="19" t="s">
        <v>30</v>
      </c>
    </row>
    <row r="182" spans="1:7" x14ac:dyDescent="0.3">
      <c r="A182" s="6" t="s">
        <v>107</v>
      </c>
      <c r="B182" s="6" t="s">
        <v>221</v>
      </c>
      <c r="C182" s="6" t="s">
        <v>136</v>
      </c>
      <c r="D182" s="6" t="str">
        <f t="shared" si="2"/>
        <v>PSIDHospitals/Facilities</v>
      </c>
      <c r="E182" s="19" t="s">
        <v>34</v>
      </c>
      <c r="F182" s="19" t="s">
        <v>30</v>
      </c>
      <c r="G182" s="19" t="s">
        <v>30</v>
      </c>
    </row>
    <row r="183" spans="1:7" x14ac:dyDescent="0.3">
      <c r="A183" s="6" t="s">
        <v>107</v>
      </c>
      <c r="B183" s="6" t="s">
        <v>221</v>
      </c>
      <c r="C183" s="6" t="s">
        <v>137</v>
      </c>
      <c r="D183" s="6" t="str">
        <f t="shared" si="2"/>
        <v>PSIDPart C/D Health Plans</v>
      </c>
      <c r="E183" s="19" t="s">
        <v>110</v>
      </c>
      <c r="F183" s="19" t="s">
        <v>30</v>
      </c>
      <c r="G183" s="19" t="s">
        <v>30</v>
      </c>
    </row>
    <row r="184" spans="1:7" x14ac:dyDescent="0.3">
      <c r="A184" s="6" t="s">
        <v>401</v>
      </c>
      <c r="B184" s="6" t="s">
        <v>222</v>
      </c>
      <c r="C184" s="6" t="s">
        <v>127</v>
      </c>
      <c r="D184" s="6" t="str">
        <f t="shared" si="2"/>
        <v>PTSocial Security Number</v>
      </c>
      <c r="E184" s="19" t="s">
        <v>36</v>
      </c>
      <c r="F184" s="19" t="s">
        <v>30</v>
      </c>
      <c r="G184" s="19" t="s">
        <v>30</v>
      </c>
    </row>
    <row r="185" spans="1:7" x14ac:dyDescent="0.3">
      <c r="A185" s="6" t="s">
        <v>401</v>
      </c>
      <c r="B185" s="6" t="s">
        <v>222</v>
      </c>
      <c r="C185" s="6" t="s">
        <v>128</v>
      </c>
      <c r="D185" s="6" t="str">
        <f t="shared" si="2"/>
        <v>PTMedicare or Medicaid Beneficiary Number</v>
      </c>
      <c r="E185" s="19" t="s">
        <v>36</v>
      </c>
      <c r="F185" s="19" t="s">
        <v>30</v>
      </c>
      <c r="G185" s="19" t="s">
        <v>30</v>
      </c>
    </row>
    <row r="186" spans="1:7" x14ac:dyDescent="0.3">
      <c r="A186" s="6" t="s">
        <v>401</v>
      </c>
      <c r="B186" s="6" t="s">
        <v>222</v>
      </c>
      <c r="C186" s="6" t="s">
        <v>129</v>
      </c>
      <c r="D186" s="6" t="str">
        <f t="shared" si="2"/>
        <v>PTSurname</v>
      </c>
      <c r="E186" s="19" t="s">
        <v>36</v>
      </c>
      <c r="F186" s="19" t="s">
        <v>30</v>
      </c>
      <c r="G186" s="19" t="s">
        <v>30</v>
      </c>
    </row>
    <row r="187" spans="1:7" x14ac:dyDescent="0.3">
      <c r="A187" s="6" t="s">
        <v>401</v>
      </c>
      <c r="B187" s="6" t="s">
        <v>222</v>
      </c>
      <c r="C187" s="6" t="s">
        <v>130</v>
      </c>
      <c r="D187" s="6" t="str">
        <f t="shared" si="2"/>
        <v>PTBeneficiary Identification Number (BID) [Random]</v>
      </c>
      <c r="E187" s="19" t="s">
        <v>34</v>
      </c>
      <c r="F187" s="19" t="s">
        <v>30</v>
      </c>
      <c r="G187" s="19" t="s">
        <v>30</v>
      </c>
    </row>
    <row r="188" spans="1:7" x14ac:dyDescent="0.3">
      <c r="A188" s="6" t="s">
        <v>401</v>
      </c>
      <c r="B188" s="6" t="s">
        <v>222</v>
      </c>
      <c r="C188" s="6" t="s">
        <v>207</v>
      </c>
      <c r="D188" s="6" t="str">
        <f t="shared" si="2"/>
        <v>PTDate of Birth</v>
      </c>
      <c r="E188" s="19" t="s">
        <v>110</v>
      </c>
      <c r="F188" s="19" t="s">
        <v>30</v>
      </c>
      <c r="G188" s="19" t="s">
        <v>30</v>
      </c>
    </row>
    <row r="189" spans="1:7" x14ac:dyDescent="0.3">
      <c r="A189" s="6" t="s">
        <v>401</v>
      </c>
      <c r="B189" s="6" t="s">
        <v>222</v>
      </c>
      <c r="C189" s="6" t="s">
        <v>208</v>
      </c>
      <c r="D189" s="6" t="str">
        <f t="shared" si="2"/>
        <v>PTGender/Race</v>
      </c>
      <c r="E189" s="20" t="s">
        <v>131</v>
      </c>
      <c r="F189" s="19" t="s">
        <v>30</v>
      </c>
      <c r="G189" s="19" t="s">
        <v>30</v>
      </c>
    </row>
    <row r="190" spans="1:7" x14ac:dyDescent="0.3">
      <c r="A190" s="6" t="s">
        <v>401</v>
      </c>
      <c r="B190" s="6" t="s">
        <v>222</v>
      </c>
      <c r="C190" s="6" t="s">
        <v>132</v>
      </c>
      <c r="D190" s="6" t="str">
        <f t="shared" si="2"/>
        <v>PTExact Dates of Service</v>
      </c>
      <c r="E190" s="20" t="s">
        <v>131</v>
      </c>
      <c r="F190" s="19" t="s">
        <v>30</v>
      </c>
      <c r="G190" s="19" t="s">
        <v>30</v>
      </c>
    </row>
    <row r="191" spans="1:7" x14ac:dyDescent="0.3">
      <c r="A191" s="6" t="s">
        <v>401</v>
      </c>
      <c r="B191" s="6" t="s">
        <v>222</v>
      </c>
      <c r="C191" s="6" t="s">
        <v>133</v>
      </c>
      <c r="D191" s="6" t="str">
        <f t="shared" si="2"/>
        <v>PTBeneficiary State Code/County Code/Zip Code</v>
      </c>
      <c r="E191" s="20" t="s">
        <v>35</v>
      </c>
      <c r="F191" s="19" t="s">
        <v>30</v>
      </c>
      <c r="G191" s="19" t="s">
        <v>30</v>
      </c>
    </row>
    <row r="192" spans="1:7" x14ac:dyDescent="0.3">
      <c r="A192" s="6" t="s">
        <v>401</v>
      </c>
      <c r="B192" s="6" t="s">
        <v>222</v>
      </c>
      <c r="C192" s="6" t="s">
        <v>134</v>
      </c>
      <c r="D192" s="6" t="str">
        <f t="shared" si="2"/>
        <v>PTProvider Characteristics (e.g., National Provider Identifiers (NPIs), Unique Provider Identification Numbers (UPINs))</v>
      </c>
      <c r="E192" s="19" t="s">
        <v>34</v>
      </c>
      <c r="F192" s="19" t="s">
        <v>30</v>
      </c>
      <c r="G192" s="19" t="s">
        <v>30</v>
      </c>
    </row>
    <row r="193" spans="1:7" x14ac:dyDescent="0.3">
      <c r="A193" s="6" t="s">
        <v>401</v>
      </c>
      <c r="B193" s="6" t="s">
        <v>222</v>
      </c>
      <c r="C193" s="6" t="s">
        <v>135</v>
      </c>
      <c r="D193" s="6" t="str">
        <f t="shared" si="2"/>
        <v>PTCMS Certification Number (CCN)</v>
      </c>
      <c r="E193" s="19" t="s">
        <v>34</v>
      </c>
      <c r="F193" s="19" t="s">
        <v>30</v>
      </c>
      <c r="G193" s="19" t="s">
        <v>30</v>
      </c>
    </row>
    <row r="194" spans="1:7" x14ac:dyDescent="0.3">
      <c r="A194" s="6" t="s">
        <v>401</v>
      </c>
      <c r="B194" s="6" t="s">
        <v>222</v>
      </c>
      <c r="C194" s="6" t="s">
        <v>136</v>
      </c>
      <c r="D194" s="6" t="str">
        <f t="shared" si="2"/>
        <v>PTHospitals/Facilities</v>
      </c>
      <c r="E194" s="19" t="s">
        <v>34</v>
      </c>
      <c r="F194" s="19" t="s">
        <v>30</v>
      </c>
      <c r="G194" s="19" t="s">
        <v>30</v>
      </c>
    </row>
    <row r="195" spans="1:7" x14ac:dyDescent="0.3">
      <c r="A195" s="6" t="s">
        <v>401</v>
      </c>
      <c r="B195" s="6" t="s">
        <v>222</v>
      </c>
      <c r="C195" s="6" t="s">
        <v>137</v>
      </c>
      <c r="D195" s="6" t="str">
        <f t="shared" si="2"/>
        <v>PTPart C/D Health Plans</v>
      </c>
      <c r="E195" s="19" t="s">
        <v>110</v>
      </c>
      <c r="F195" s="19" t="s">
        <v>30</v>
      </c>
      <c r="G195" s="19" t="s">
        <v>30</v>
      </c>
    </row>
    <row r="196" spans="1:7" x14ac:dyDescent="0.3">
      <c r="A196" s="6" t="s">
        <v>85</v>
      </c>
      <c r="B196" s="6" t="s">
        <v>223</v>
      </c>
      <c r="C196" s="6" t="s">
        <v>127</v>
      </c>
      <c r="D196" s="6" t="str">
        <f t="shared" si="2"/>
        <v>RADCSocial Security Number</v>
      </c>
      <c r="E196" s="19" t="s">
        <v>36</v>
      </c>
      <c r="F196" s="19" t="s">
        <v>30</v>
      </c>
      <c r="G196" s="19" t="s">
        <v>30</v>
      </c>
    </row>
    <row r="197" spans="1:7" x14ac:dyDescent="0.3">
      <c r="A197" s="6" t="s">
        <v>85</v>
      </c>
      <c r="B197" s="6" t="s">
        <v>223</v>
      </c>
      <c r="C197" s="6" t="s">
        <v>128</v>
      </c>
      <c r="D197" s="6" t="str">
        <f t="shared" ref="D197:D231" si="3">CONCATENATE(B197,C197)</f>
        <v>RADCMedicare or Medicaid Beneficiary Number</v>
      </c>
      <c r="E197" s="19" t="s">
        <v>36</v>
      </c>
      <c r="F197" s="19" t="s">
        <v>30</v>
      </c>
      <c r="G197" s="19" t="s">
        <v>30</v>
      </c>
    </row>
    <row r="198" spans="1:7" x14ac:dyDescent="0.3">
      <c r="A198" s="6" t="s">
        <v>85</v>
      </c>
      <c r="B198" s="6" t="s">
        <v>223</v>
      </c>
      <c r="C198" s="6" t="s">
        <v>129</v>
      </c>
      <c r="D198" s="6" t="str">
        <f t="shared" si="3"/>
        <v>RADCSurname</v>
      </c>
      <c r="E198" s="19" t="s">
        <v>36</v>
      </c>
      <c r="F198" s="19" t="s">
        <v>30</v>
      </c>
      <c r="G198" s="19" t="s">
        <v>30</v>
      </c>
    </row>
    <row r="199" spans="1:7" x14ac:dyDescent="0.3">
      <c r="A199" s="6" t="s">
        <v>85</v>
      </c>
      <c r="B199" s="6" t="s">
        <v>223</v>
      </c>
      <c r="C199" s="6" t="s">
        <v>130</v>
      </c>
      <c r="D199" s="6" t="str">
        <f t="shared" si="3"/>
        <v>RADCBeneficiary Identification Number (BID) [Random]</v>
      </c>
      <c r="E199" s="19" t="s">
        <v>34</v>
      </c>
      <c r="F199" s="19" t="s">
        <v>30</v>
      </c>
      <c r="G199" s="19" t="s">
        <v>30</v>
      </c>
    </row>
    <row r="200" spans="1:7" x14ac:dyDescent="0.3">
      <c r="A200" s="6" t="s">
        <v>85</v>
      </c>
      <c r="B200" s="6" t="s">
        <v>223</v>
      </c>
      <c r="C200" s="6" t="s">
        <v>207</v>
      </c>
      <c r="D200" s="6" t="str">
        <f t="shared" si="3"/>
        <v>RADCDate of Birth</v>
      </c>
      <c r="E200" s="20" t="s">
        <v>35</v>
      </c>
      <c r="F200" s="19" t="s">
        <v>30</v>
      </c>
      <c r="G200" s="19" t="s">
        <v>30</v>
      </c>
    </row>
    <row r="201" spans="1:7" x14ac:dyDescent="0.3">
      <c r="A201" s="6" t="s">
        <v>85</v>
      </c>
      <c r="B201" s="6" t="s">
        <v>223</v>
      </c>
      <c r="C201" s="6" t="s">
        <v>208</v>
      </c>
      <c r="D201" s="6" t="str">
        <f t="shared" si="3"/>
        <v>RADCGender/Race</v>
      </c>
      <c r="E201" s="20" t="s">
        <v>131</v>
      </c>
      <c r="F201" s="19" t="s">
        <v>30</v>
      </c>
      <c r="G201" s="19" t="s">
        <v>30</v>
      </c>
    </row>
    <row r="202" spans="1:7" x14ac:dyDescent="0.3">
      <c r="A202" s="6" t="s">
        <v>85</v>
      </c>
      <c r="B202" s="6" t="s">
        <v>223</v>
      </c>
      <c r="C202" s="6" t="s">
        <v>132</v>
      </c>
      <c r="D202" s="6" t="str">
        <f t="shared" si="3"/>
        <v>RADCExact Dates of Service</v>
      </c>
      <c r="E202" s="20" t="s">
        <v>131</v>
      </c>
      <c r="F202" s="19" t="s">
        <v>30</v>
      </c>
      <c r="G202" s="19" t="s">
        <v>30</v>
      </c>
    </row>
    <row r="203" spans="1:7" x14ac:dyDescent="0.3">
      <c r="A203" s="6" t="s">
        <v>85</v>
      </c>
      <c r="B203" s="6" t="s">
        <v>223</v>
      </c>
      <c r="C203" s="6" t="s">
        <v>133</v>
      </c>
      <c r="D203" s="6" t="str">
        <f t="shared" si="3"/>
        <v>RADCBeneficiary State Code/County Code/Zip Code</v>
      </c>
      <c r="E203" s="20" t="s">
        <v>35</v>
      </c>
      <c r="F203" s="19" t="s">
        <v>30</v>
      </c>
      <c r="G203" s="19" t="s">
        <v>30</v>
      </c>
    </row>
    <row r="204" spans="1:7" x14ac:dyDescent="0.3">
      <c r="A204" s="6" t="s">
        <v>85</v>
      </c>
      <c r="B204" s="6" t="s">
        <v>223</v>
      </c>
      <c r="C204" s="6" t="s">
        <v>134</v>
      </c>
      <c r="D204" s="6" t="str">
        <f t="shared" si="3"/>
        <v>RADCProvider Characteristics (e.g., National Provider Identifiers (NPIs), Unique Provider Identification Numbers (UPINs))</v>
      </c>
      <c r="E204" s="19" t="s">
        <v>34</v>
      </c>
      <c r="F204" s="19" t="s">
        <v>30</v>
      </c>
      <c r="G204" s="19" t="s">
        <v>30</v>
      </c>
    </row>
    <row r="205" spans="1:7" x14ac:dyDescent="0.3">
      <c r="A205" s="6" t="s">
        <v>85</v>
      </c>
      <c r="B205" s="6" t="s">
        <v>223</v>
      </c>
      <c r="C205" s="6" t="s">
        <v>135</v>
      </c>
      <c r="D205" s="6" t="str">
        <f t="shared" si="3"/>
        <v>RADCCMS Certification Number (CCN)</v>
      </c>
      <c r="E205" s="19" t="s">
        <v>34</v>
      </c>
      <c r="F205" s="19" t="s">
        <v>30</v>
      </c>
      <c r="G205" s="19" t="s">
        <v>30</v>
      </c>
    </row>
    <row r="206" spans="1:7" x14ac:dyDescent="0.3">
      <c r="A206" s="6" t="s">
        <v>85</v>
      </c>
      <c r="B206" s="6" t="s">
        <v>223</v>
      </c>
      <c r="C206" s="6" t="s">
        <v>136</v>
      </c>
      <c r="D206" s="6" t="str">
        <f t="shared" si="3"/>
        <v>RADCHospitals/Facilities</v>
      </c>
      <c r="E206" s="19" t="s">
        <v>34</v>
      </c>
      <c r="F206" s="19" t="s">
        <v>30</v>
      </c>
      <c r="G206" s="19" t="s">
        <v>30</v>
      </c>
    </row>
    <row r="207" spans="1:7" x14ac:dyDescent="0.3">
      <c r="A207" s="6" t="s">
        <v>85</v>
      </c>
      <c r="B207" s="6" t="s">
        <v>223</v>
      </c>
      <c r="C207" s="6" t="s">
        <v>137</v>
      </c>
      <c r="D207" s="6" t="str">
        <f t="shared" si="3"/>
        <v>RADCPart C/D Health Plans</v>
      </c>
      <c r="E207" s="19" t="s">
        <v>110</v>
      </c>
      <c r="F207" s="19" t="s">
        <v>30</v>
      </c>
      <c r="G207" s="19" t="s">
        <v>30</v>
      </c>
    </row>
    <row r="208" spans="1:7" x14ac:dyDescent="0.3">
      <c r="A208" s="6" t="s">
        <v>569</v>
      </c>
      <c r="B208" s="6" t="s">
        <v>224</v>
      </c>
      <c r="C208" s="6" t="s">
        <v>127</v>
      </c>
      <c r="D208" s="6" t="str">
        <f t="shared" si="3"/>
        <v>UASSocial Security Number</v>
      </c>
      <c r="E208" s="19" t="s">
        <v>36</v>
      </c>
      <c r="F208" s="19" t="s">
        <v>36</v>
      </c>
      <c r="G208" s="19" t="s">
        <v>36</v>
      </c>
    </row>
    <row r="209" spans="1:7" x14ac:dyDescent="0.3">
      <c r="A209" s="6" t="s">
        <v>569</v>
      </c>
      <c r="B209" s="6" t="s">
        <v>224</v>
      </c>
      <c r="C209" s="6" t="s">
        <v>128</v>
      </c>
      <c r="D209" s="6" t="str">
        <f t="shared" si="3"/>
        <v>UASMedicare or Medicaid Beneficiary Number</v>
      </c>
      <c r="E209" s="19" t="s">
        <v>36</v>
      </c>
      <c r="F209" s="19" t="s">
        <v>36</v>
      </c>
      <c r="G209" s="19" t="s">
        <v>36</v>
      </c>
    </row>
    <row r="210" spans="1:7" x14ac:dyDescent="0.3">
      <c r="A210" s="6" t="s">
        <v>569</v>
      </c>
      <c r="B210" s="6" t="s">
        <v>224</v>
      </c>
      <c r="C210" s="6" t="s">
        <v>129</v>
      </c>
      <c r="D210" s="6" t="str">
        <f t="shared" si="3"/>
        <v>UASSurname</v>
      </c>
      <c r="E210" s="19" t="s">
        <v>36</v>
      </c>
      <c r="F210" s="19" t="s">
        <v>36</v>
      </c>
      <c r="G210" s="19" t="s">
        <v>36</v>
      </c>
    </row>
    <row r="211" spans="1:7" x14ac:dyDescent="0.3">
      <c r="A211" s="6" t="s">
        <v>569</v>
      </c>
      <c r="B211" s="6" t="s">
        <v>224</v>
      </c>
      <c r="C211" s="6" t="s">
        <v>130</v>
      </c>
      <c r="D211" s="6" t="str">
        <f t="shared" si="3"/>
        <v>UASBeneficiary Identification Number (BID) [Random]</v>
      </c>
      <c r="E211" s="19" t="s">
        <v>34</v>
      </c>
      <c r="F211" s="19" t="s">
        <v>34</v>
      </c>
      <c r="G211" s="19" t="s">
        <v>34</v>
      </c>
    </row>
    <row r="212" spans="1:7" x14ac:dyDescent="0.3">
      <c r="A212" s="6" t="s">
        <v>569</v>
      </c>
      <c r="B212" s="6" t="s">
        <v>224</v>
      </c>
      <c r="C212" s="6" t="s">
        <v>207</v>
      </c>
      <c r="D212" s="6" t="str">
        <f t="shared" si="3"/>
        <v>UASDate of Birth</v>
      </c>
      <c r="E212" s="20" t="s">
        <v>131</v>
      </c>
      <c r="F212" s="20" t="s">
        <v>131</v>
      </c>
      <c r="G212" s="20" t="s">
        <v>131</v>
      </c>
    </row>
    <row r="213" spans="1:7" x14ac:dyDescent="0.3">
      <c r="A213" s="6" t="s">
        <v>569</v>
      </c>
      <c r="B213" s="6" t="s">
        <v>224</v>
      </c>
      <c r="C213" s="6" t="s">
        <v>208</v>
      </c>
      <c r="D213" s="6" t="str">
        <f t="shared" si="3"/>
        <v>UASGender/Race</v>
      </c>
      <c r="E213" s="20" t="s">
        <v>131</v>
      </c>
      <c r="F213" s="20" t="s">
        <v>131</v>
      </c>
      <c r="G213" s="20" t="s">
        <v>131</v>
      </c>
    </row>
    <row r="214" spans="1:7" x14ac:dyDescent="0.3">
      <c r="A214" s="6" t="s">
        <v>569</v>
      </c>
      <c r="B214" s="6" t="s">
        <v>224</v>
      </c>
      <c r="C214" s="6" t="s">
        <v>132</v>
      </c>
      <c r="D214" s="6" t="str">
        <f t="shared" si="3"/>
        <v>UASExact Dates of Service</v>
      </c>
      <c r="E214" s="20" t="s">
        <v>131</v>
      </c>
      <c r="F214" s="20" t="s">
        <v>131</v>
      </c>
      <c r="G214" s="20" t="s">
        <v>131</v>
      </c>
    </row>
    <row r="215" spans="1:7" x14ac:dyDescent="0.3">
      <c r="A215" s="6" t="s">
        <v>569</v>
      </c>
      <c r="B215" s="6" t="s">
        <v>224</v>
      </c>
      <c r="C215" s="6" t="s">
        <v>133</v>
      </c>
      <c r="D215" s="6" t="str">
        <f t="shared" si="3"/>
        <v>UASBeneficiary State Code/County Code/Zip Code</v>
      </c>
      <c r="E215" s="20" t="s">
        <v>35</v>
      </c>
      <c r="F215" s="20" t="s">
        <v>131</v>
      </c>
      <c r="G215" s="20" t="s">
        <v>131</v>
      </c>
    </row>
    <row r="216" spans="1:7" x14ac:dyDescent="0.3">
      <c r="A216" s="6" t="s">
        <v>569</v>
      </c>
      <c r="B216" s="6" t="s">
        <v>224</v>
      </c>
      <c r="C216" s="6" t="s">
        <v>134</v>
      </c>
      <c r="D216" s="6" t="str">
        <f t="shared" si="3"/>
        <v>UASProvider Characteristics (e.g., National Provider Identifiers (NPIs), Unique Provider Identification Numbers (UPINs))</v>
      </c>
      <c r="E216" s="19" t="s">
        <v>34</v>
      </c>
      <c r="F216" s="19" t="s">
        <v>34</v>
      </c>
      <c r="G216" s="20" t="s">
        <v>131</v>
      </c>
    </row>
    <row r="217" spans="1:7" x14ac:dyDescent="0.3">
      <c r="A217" s="6" t="s">
        <v>569</v>
      </c>
      <c r="B217" s="6" t="s">
        <v>224</v>
      </c>
      <c r="C217" s="6" t="s">
        <v>135</v>
      </c>
      <c r="D217" s="6" t="str">
        <f t="shared" si="3"/>
        <v>UASCMS Certification Number (CCN)</v>
      </c>
      <c r="E217" s="19" t="s">
        <v>34</v>
      </c>
      <c r="F217" s="19" t="s">
        <v>34</v>
      </c>
      <c r="G217" s="20" t="s">
        <v>131</v>
      </c>
    </row>
    <row r="218" spans="1:7" x14ac:dyDescent="0.3">
      <c r="A218" s="6" t="s">
        <v>569</v>
      </c>
      <c r="B218" s="6" t="s">
        <v>224</v>
      </c>
      <c r="C218" s="6" t="s">
        <v>136</v>
      </c>
      <c r="D218" s="6" t="str">
        <f t="shared" si="3"/>
        <v>UASHospitals/Facilities</v>
      </c>
      <c r="E218" s="19" t="s">
        <v>34</v>
      </c>
      <c r="F218" s="19" t="s">
        <v>34</v>
      </c>
      <c r="G218" s="20" t="s">
        <v>131</v>
      </c>
    </row>
    <row r="219" spans="1:7" x14ac:dyDescent="0.3">
      <c r="A219" s="6" t="s">
        <v>569</v>
      </c>
      <c r="B219" s="6" t="s">
        <v>224</v>
      </c>
      <c r="C219" s="6" t="s">
        <v>137</v>
      </c>
      <c r="D219" s="6" t="str">
        <f t="shared" si="3"/>
        <v>UASPart C/D Health Plans</v>
      </c>
      <c r="E219" s="19" t="s">
        <v>110</v>
      </c>
      <c r="F219" s="19" t="s">
        <v>110</v>
      </c>
      <c r="G219" s="20" t="s">
        <v>131</v>
      </c>
    </row>
    <row r="220" spans="1:7" x14ac:dyDescent="0.3">
      <c r="A220" s="6" t="s">
        <v>118</v>
      </c>
      <c r="B220" s="6" t="s">
        <v>225</v>
      </c>
      <c r="C220" s="6" t="s">
        <v>127</v>
      </c>
      <c r="D220" s="6" t="str">
        <f t="shared" si="3"/>
        <v>UFOVTSocial Security Number</v>
      </c>
      <c r="E220" s="19" t="s">
        <v>36</v>
      </c>
      <c r="F220" s="19" t="s">
        <v>30</v>
      </c>
      <c r="G220" s="19" t="s">
        <v>30</v>
      </c>
    </row>
    <row r="221" spans="1:7" x14ac:dyDescent="0.3">
      <c r="A221" s="6" t="s">
        <v>118</v>
      </c>
      <c r="B221" s="6" t="s">
        <v>225</v>
      </c>
      <c r="C221" s="6" t="s">
        <v>128</v>
      </c>
      <c r="D221" s="6" t="str">
        <f t="shared" si="3"/>
        <v>UFOVTMedicare or Medicaid Beneficiary Number</v>
      </c>
      <c r="E221" s="19" t="s">
        <v>36</v>
      </c>
      <c r="F221" s="19" t="s">
        <v>30</v>
      </c>
      <c r="G221" s="19" t="s">
        <v>30</v>
      </c>
    </row>
    <row r="222" spans="1:7" x14ac:dyDescent="0.3">
      <c r="A222" s="6" t="s">
        <v>118</v>
      </c>
      <c r="B222" s="6" t="s">
        <v>225</v>
      </c>
      <c r="C222" s="6" t="s">
        <v>129</v>
      </c>
      <c r="D222" s="6" t="str">
        <f t="shared" si="3"/>
        <v>UFOVTSurname</v>
      </c>
      <c r="E222" s="19" t="s">
        <v>36</v>
      </c>
      <c r="F222" s="19" t="s">
        <v>30</v>
      </c>
      <c r="G222" s="19" t="s">
        <v>30</v>
      </c>
    </row>
    <row r="223" spans="1:7" x14ac:dyDescent="0.3">
      <c r="A223" s="6" t="s">
        <v>118</v>
      </c>
      <c r="B223" s="6" t="s">
        <v>225</v>
      </c>
      <c r="C223" s="6" t="s">
        <v>130</v>
      </c>
      <c r="D223" s="6" t="str">
        <f t="shared" si="3"/>
        <v>UFOVTBeneficiary Identification Number (BID) [Random]</v>
      </c>
      <c r="E223" s="19" t="s">
        <v>34</v>
      </c>
      <c r="F223" s="19" t="s">
        <v>30</v>
      </c>
      <c r="G223" s="19" t="s">
        <v>30</v>
      </c>
    </row>
    <row r="224" spans="1:7" x14ac:dyDescent="0.3">
      <c r="A224" s="6" t="s">
        <v>118</v>
      </c>
      <c r="B224" s="6" t="s">
        <v>225</v>
      </c>
      <c r="C224" s="6" t="s">
        <v>207</v>
      </c>
      <c r="D224" s="6" t="str">
        <f t="shared" si="3"/>
        <v>UFOVTDate of Birth</v>
      </c>
      <c r="E224" s="20" t="s">
        <v>35</v>
      </c>
      <c r="F224" s="19" t="s">
        <v>30</v>
      </c>
      <c r="G224" s="19" t="s">
        <v>30</v>
      </c>
    </row>
    <row r="225" spans="1:7" x14ac:dyDescent="0.3">
      <c r="A225" s="6" t="s">
        <v>118</v>
      </c>
      <c r="B225" s="6" t="s">
        <v>225</v>
      </c>
      <c r="C225" s="6" t="s">
        <v>208</v>
      </c>
      <c r="D225" s="6" t="str">
        <f t="shared" si="3"/>
        <v>UFOVTGender/Race</v>
      </c>
      <c r="E225" s="20" t="s">
        <v>131</v>
      </c>
      <c r="F225" s="19" t="s">
        <v>30</v>
      </c>
      <c r="G225" s="19" t="s">
        <v>30</v>
      </c>
    </row>
    <row r="226" spans="1:7" x14ac:dyDescent="0.3">
      <c r="A226" s="6" t="s">
        <v>118</v>
      </c>
      <c r="B226" s="6" t="s">
        <v>225</v>
      </c>
      <c r="C226" s="6" t="s">
        <v>132</v>
      </c>
      <c r="D226" s="6" t="str">
        <f t="shared" si="3"/>
        <v>UFOVTExact Dates of Service</v>
      </c>
      <c r="E226" s="20" t="s">
        <v>131</v>
      </c>
      <c r="F226" s="19" t="s">
        <v>30</v>
      </c>
      <c r="G226" s="19" t="s">
        <v>30</v>
      </c>
    </row>
    <row r="227" spans="1:7" x14ac:dyDescent="0.3">
      <c r="A227" s="6" t="s">
        <v>118</v>
      </c>
      <c r="B227" s="6" t="s">
        <v>225</v>
      </c>
      <c r="C227" s="6" t="s">
        <v>133</v>
      </c>
      <c r="D227" s="6" t="str">
        <f t="shared" si="3"/>
        <v>UFOVTBeneficiary State Code/County Code/Zip Code</v>
      </c>
      <c r="E227" s="20" t="s">
        <v>35</v>
      </c>
      <c r="F227" s="19" t="s">
        <v>30</v>
      </c>
      <c r="G227" s="19" t="s">
        <v>30</v>
      </c>
    </row>
    <row r="228" spans="1:7" x14ac:dyDescent="0.3">
      <c r="A228" s="6" t="s">
        <v>118</v>
      </c>
      <c r="B228" s="6" t="s">
        <v>225</v>
      </c>
      <c r="C228" s="6" t="s">
        <v>134</v>
      </c>
      <c r="D228" s="6" t="str">
        <f t="shared" si="3"/>
        <v>UFOVTProvider Characteristics (e.g., National Provider Identifiers (NPIs), Unique Provider Identification Numbers (UPINs))</v>
      </c>
      <c r="E228" s="19" t="s">
        <v>34</v>
      </c>
      <c r="F228" s="19" t="s">
        <v>30</v>
      </c>
      <c r="G228" s="19" t="s">
        <v>30</v>
      </c>
    </row>
    <row r="229" spans="1:7" x14ac:dyDescent="0.3">
      <c r="A229" s="6" t="s">
        <v>118</v>
      </c>
      <c r="B229" s="6" t="s">
        <v>225</v>
      </c>
      <c r="C229" s="6" t="s">
        <v>135</v>
      </c>
      <c r="D229" s="6" t="str">
        <f t="shared" si="3"/>
        <v>UFOVTCMS Certification Number (CCN)</v>
      </c>
      <c r="E229" s="19" t="s">
        <v>34</v>
      </c>
      <c r="F229" s="19" t="s">
        <v>30</v>
      </c>
      <c r="G229" s="19" t="s">
        <v>30</v>
      </c>
    </row>
    <row r="230" spans="1:7" x14ac:dyDescent="0.3">
      <c r="A230" s="6" t="s">
        <v>118</v>
      </c>
      <c r="B230" s="6" t="s">
        <v>225</v>
      </c>
      <c r="C230" s="6" t="s">
        <v>136</v>
      </c>
      <c r="D230" s="6" t="str">
        <f t="shared" si="3"/>
        <v>UFOVTHospitals/Facilities</v>
      </c>
      <c r="E230" s="19" t="s">
        <v>34</v>
      </c>
      <c r="F230" s="19" t="s">
        <v>30</v>
      </c>
      <c r="G230" s="19" t="s">
        <v>30</v>
      </c>
    </row>
    <row r="231" spans="1:7" x14ac:dyDescent="0.3">
      <c r="A231" s="6" t="s">
        <v>118</v>
      </c>
      <c r="B231" s="6" t="s">
        <v>225</v>
      </c>
      <c r="C231" s="6" t="s">
        <v>137</v>
      </c>
      <c r="D231" s="6" t="str">
        <f t="shared" si="3"/>
        <v>UFOVTPart C/D Health Plans</v>
      </c>
      <c r="E231" s="19" t="s">
        <v>110</v>
      </c>
      <c r="F231" s="19" t="s">
        <v>30</v>
      </c>
      <c r="G231" s="19" t="s">
        <v>30</v>
      </c>
    </row>
    <row r="232" spans="1:7" x14ac:dyDescent="0.3">
      <c r="A232" s="6" t="s">
        <v>685</v>
      </c>
      <c r="B232" s="6" t="s">
        <v>686</v>
      </c>
      <c r="C232" s="6" t="s">
        <v>127</v>
      </c>
      <c r="D232" s="6" t="str">
        <f t="shared" ref="D232:D243" si="4">CONCATENATE(B232,C232)</f>
        <v>OtherSocial Security Number</v>
      </c>
      <c r="E232" s="19" t="s">
        <v>36</v>
      </c>
      <c r="F232" s="19" t="s">
        <v>36</v>
      </c>
      <c r="G232" s="19" t="s">
        <v>36</v>
      </c>
    </row>
    <row r="233" spans="1:7" x14ac:dyDescent="0.3">
      <c r="A233" s="6" t="s">
        <v>685</v>
      </c>
      <c r="B233" s="6" t="s">
        <v>686</v>
      </c>
      <c r="C233" s="6" t="s">
        <v>128</v>
      </c>
      <c r="D233" s="6" t="str">
        <f t="shared" si="4"/>
        <v>OtherMedicare or Medicaid Beneficiary Number</v>
      </c>
      <c r="E233" s="19" t="s">
        <v>36</v>
      </c>
      <c r="F233" s="19" t="s">
        <v>36</v>
      </c>
      <c r="G233" s="19" t="s">
        <v>36</v>
      </c>
    </row>
    <row r="234" spans="1:7" x14ac:dyDescent="0.3">
      <c r="A234" s="6" t="s">
        <v>685</v>
      </c>
      <c r="B234" s="6" t="s">
        <v>686</v>
      </c>
      <c r="C234" s="6" t="s">
        <v>129</v>
      </c>
      <c r="D234" s="6" t="str">
        <f t="shared" si="4"/>
        <v>OtherSurname</v>
      </c>
      <c r="E234" s="19" t="s">
        <v>36</v>
      </c>
      <c r="F234" s="19" t="s">
        <v>36</v>
      </c>
      <c r="G234" s="19" t="s">
        <v>36</v>
      </c>
    </row>
    <row r="235" spans="1:7" x14ac:dyDescent="0.3">
      <c r="A235" s="6" t="s">
        <v>685</v>
      </c>
      <c r="B235" s="6" t="s">
        <v>686</v>
      </c>
      <c r="C235" s="6" t="s">
        <v>130</v>
      </c>
      <c r="D235" s="6" t="str">
        <f t="shared" si="4"/>
        <v>OtherBeneficiary Identification Number (BID) [Random]</v>
      </c>
      <c r="E235" s="19" t="s">
        <v>34</v>
      </c>
      <c r="F235" s="19" t="s">
        <v>34</v>
      </c>
      <c r="G235" s="19" t="s">
        <v>34</v>
      </c>
    </row>
    <row r="236" spans="1:7" x14ac:dyDescent="0.3">
      <c r="A236" s="6" t="s">
        <v>685</v>
      </c>
      <c r="B236" s="6" t="s">
        <v>686</v>
      </c>
      <c r="C236" s="6" t="s">
        <v>207</v>
      </c>
      <c r="D236" s="6" t="str">
        <f t="shared" si="4"/>
        <v>OtherDate of Birth</v>
      </c>
      <c r="E236" s="19" t="s">
        <v>694</v>
      </c>
      <c r="F236" s="19" t="s">
        <v>694</v>
      </c>
      <c r="G236" s="19" t="s">
        <v>694</v>
      </c>
    </row>
    <row r="237" spans="1:7" x14ac:dyDescent="0.3">
      <c r="A237" s="6" t="s">
        <v>685</v>
      </c>
      <c r="B237" s="6" t="s">
        <v>686</v>
      </c>
      <c r="C237" s="6" t="s">
        <v>208</v>
      </c>
      <c r="D237" s="6" t="str">
        <f t="shared" si="4"/>
        <v>OtherGender/Race</v>
      </c>
      <c r="E237" s="19" t="s">
        <v>694</v>
      </c>
      <c r="F237" s="19" t="s">
        <v>694</v>
      </c>
      <c r="G237" s="19" t="s">
        <v>694</v>
      </c>
    </row>
    <row r="238" spans="1:7" x14ac:dyDescent="0.3">
      <c r="A238" s="6" t="s">
        <v>685</v>
      </c>
      <c r="B238" s="6" t="s">
        <v>686</v>
      </c>
      <c r="C238" s="6" t="s">
        <v>132</v>
      </c>
      <c r="D238" s="6" t="str">
        <f t="shared" si="4"/>
        <v>OtherExact Dates of Service</v>
      </c>
      <c r="E238" s="19" t="s">
        <v>694</v>
      </c>
      <c r="F238" s="19" t="s">
        <v>694</v>
      </c>
      <c r="G238" s="19" t="s">
        <v>694</v>
      </c>
    </row>
    <row r="239" spans="1:7" x14ac:dyDescent="0.3">
      <c r="A239" s="6" t="s">
        <v>685</v>
      </c>
      <c r="B239" s="6" t="s">
        <v>686</v>
      </c>
      <c r="C239" s="6" t="s">
        <v>133</v>
      </c>
      <c r="D239" s="6" t="str">
        <f t="shared" si="4"/>
        <v>OtherBeneficiary State Code/County Code/Zip Code</v>
      </c>
      <c r="E239" s="19" t="s">
        <v>694</v>
      </c>
      <c r="F239" s="19" t="s">
        <v>694</v>
      </c>
      <c r="G239" s="19" t="s">
        <v>694</v>
      </c>
    </row>
    <row r="240" spans="1:7" x14ac:dyDescent="0.3">
      <c r="A240" s="6" t="s">
        <v>685</v>
      </c>
      <c r="B240" s="6" t="s">
        <v>686</v>
      </c>
      <c r="C240" s="6" t="s">
        <v>134</v>
      </c>
      <c r="D240" s="6" t="str">
        <f t="shared" si="4"/>
        <v>OtherProvider Characteristics (e.g., National Provider Identifiers (NPIs), Unique Provider Identification Numbers (UPINs))</v>
      </c>
      <c r="E240" s="19" t="s">
        <v>694</v>
      </c>
      <c r="F240" s="19" t="s">
        <v>694</v>
      </c>
      <c r="G240" s="19" t="s">
        <v>694</v>
      </c>
    </row>
    <row r="241" spans="1:7" x14ac:dyDescent="0.3">
      <c r="A241" s="6" t="s">
        <v>685</v>
      </c>
      <c r="B241" s="6" t="s">
        <v>686</v>
      </c>
      <c r="C241" s="6" t="s">
        <v>135</v>
      </c>
      <c r="D241" s="6" t="str">
        <f t="shared" si="4"/>
        <v>OtherCMS Certification Number (CCN)</v>
      </c>
      <c r="E241" s="19" t="s">
        <v>694</v>
      </c>
      <c r="F241" s="19" t="s">
        <v>694</v>
      </c>
      <c r="G241" s="19" t="s">
        <v>694</v>
      </c>
    </row>
    <row r="242" spans="1:7" x14ac:dyDescent="0.3">
      <c r="A242" s="6" t="s">
        <v>685</v>
      </c>
      <c r="B242" s="6" t="s">
        <v>686</v>
      </c>
      <c r="C242" s="6" t="s">
        <v>136</v>
      </c>
      <c r="D242" s="6" t="str">
        <f t="shared" si="4"/>
        <v>OtherHospitals/Facilities</v>
      </c>
      <c r="E242" s="19" t="s">
        <v>694</v>
      </c>
      <c r="F242" s="19" t="s">
        <v>694</v>
      </c>
      <c r="G242" s="19" t="s">
        <v>694</v>
      </c>
    </row>
    <row r="243" spans="1:7" x14ac:dyDescent="0.3">
      <c r="A243" s="6" t="s">
        <v>685</v>
      </c>
      <c r="B243" s="6" t="s">
        <v>686</v>
      </c>
      <c r="C243" s="6" t="s">
        <v>137</v>
      </c>
      <c r="D243" s="6" t="str">
        <f t="shared" si="4"/>
        <v>OtherPart C/D Health Plans</v>
      </c>
      <c r="E243" s="19" t="s">
        <v>694</v>
      </c>
      <c r="F243" s="19" t="s">
        <v>694</v>
      </c>
      <c r="G243" s="19" t="s">
        <v>694</v>
      </c>
    </row>
  </sheetData>
  <sheetProtection selectLockedCells="1" selectUnlockedCells="1"/>
  <autoFilter ref="A3:G231" xr:uid="{00000000-0009-0000-0000-000015000000}"/>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0">
    <tabColor rgb="FFCDDEE5"/>
  </sheetPr>
  <dimension ref="A1:E33"/>
  <sheetViews>
    <sheetView showGridLines="0" zoomScaleNormal="100" workbookViewId="0">
      <selection activeCell="A2" sqref="A2"/>
    </sheetView>
  </sheetViews>
  <sheetFormatPr defaultColWidth="8.6640625" defaultRowHeight="17.25" x14ac:dyDescent="0.3"/>
  <cols>
    <col min="1" max="1" width="7.77734375" style="50" customWidth="1"/>
    <col min="2" max="2" width="15.6640625" style="50" customWidth="1"/>
    <col min="3" max="3" width="30.44140625" style="50" customWidth="1"/>
    <col min="4" max="4" width="85.6640625" style="50" customWidth="1"/>
    <col min="5" max="5" width="8.6640625" style="50" customWidth="1"/>
    <col min="6" max="16384" width="8.6640625" style="21"/>
  </cols>
  <sheetData>
    <row r="1" spans="1:5" ht="28.5" customHeight="1" x14ac:dyDescent="0.25">
      <c r="A1" s="296" t="s">
        <v>543</v>
      </c>
      <c r="B1" s="37"/>
      <c r="C1" s="37"/>
      <c r="D1" s="37"/>
      <c r="E1" s="37"/>
    </row>
    <row r="2" spans="1:5" ht="27" x14ac:dyDescent="0.5">
      <c r="A2" s="460" t="s">
        <v>534</v>
      </c>
      <c r="B2" s="38"/>
      <c r="C2" s="38"/>
      <c r="D2" s="38"/>
      <c r="E2" s="38"/>
    </row>
    <row r="3" spans="1:5" ht="15.95" customHeight="1" x14ac:dyDescent="0.55000000000000004">
      <c r="A3" s="39"/>
      <c r="B3" s="39"/>
      <c r="C3" s="39"/>
      <c r="D3" s="39"/>
      <c r="E3" s="39"/>
    </row>
    <row r="4" spans="1:5" ht="45" customHeight="1" x14ac:dyDescent="0.3">
      <c r="A4" s="362" t="s">
        <v>727</v>
      </c>
      <c r="B4" s="362"/>
      <c r="C4" s="362"/>
      <c r="D4" s="362"/>
      <c r="E4" s="363"/>
    </row>
    <row r="5" spans="1:5" ht="15" customHeight="1" x14ac:dyDescent="0.3">
      <c r="A5" s="305"/>
      <c r="B5" s="305"/>
      <c r="C5" s="305"/>
      <c r="D5" s="305"/>
      <c r="E5" s="47"/>
    </row>
    <row r="6" spans="1:5" ht="30" customHeight="1" x14ac:dyDescent="0.3">
      <c r="A6" s="41"/>
      <c r="B6" s="256" t="s">
        <v>535</v>
      </c>
      <c r="C6" s="257" t="s">
        <v>536</v>
      </c>
      <c r="D6" s="258" t="s">
        <v>537</v>
      </c>
      <c r="E6" s="40"/>
    </row>
    <row r="7" spans="1:5" ht="30" customHeight="1" x14ac:dyDescent="0.3">
      <c r="A7" s="42"/>
      <c r="B7" s="364">
        <v>44684</v>
      </c>
      <c r="C7" s="365" t="s">
        <v>524</v>
      </c>
      <c r="D7" s="366" t="s">
        <v>728</v>
      </c>
      <c r="E7" s="40"/>
    </row>
    <row r="8" spans="1:5" ht="30" customHeight="1" x14ac:dyDescent="0.3">
      <c r="A8" s="42"/>
      <c r="B8" s="252">
        <v>44684</v>
      </c>
      <c r="C8" s="253" t="s">
        <v>538</v>
      </c>
      <c r="D8" s="254" t="s">
        <v>729</v>
      </c>
      <c r="E8" s="40"/>
    </row>
    <row r="9" spans="1:5" ht="51.75" x14ac:dyDescent="0.3">
      <c r="A9" s="42"/>
      <c r="B9" s="364">
        <v>44684</v>
      </c>
      <c r="C9" s="365" t="s">
        <v>539</v>
      </c>
      <c r="D9" s="366" t="s">
        <v>814</v>
      </c>
      <c r="E9" s="40"/>
    </row>
    <row r="10" spans="1:5" ht="30" customHeight="1" x14ac:dyDescent="0.3">
      <c r="A10" s="42"/>
      <c r="B10" s="252">
        <v>44684</v>
      </c>
      <c r="C10" s="253" t="s">
        <v>555</v>
      </c>
      <c r="D10" s="254" t="s">
        <v>540</v>
      </c>
      <c r="E10" s="40"/>
    </row>
    <row r="11" spans="1:5" ht="35.1" customHeight="1" x14ac:dyDescent="0.3">
      <c r="A11" s="43"/>
      <c r="B11" s="364">
        <v>44684</v>
      </c>
      <c r="C11" s="365" t="s">
        <v>562</v>
      </c>
      <c r="D11" s="366" t="s">
        <v>711</v>
      </c>
      <c r="E11" s="40"/>
    </row>
    <row r="12" spans="1:5" ht="35.1" customHeight="1" x14ac:dyDescent="0.3">
      <c r="A12" s="43"/>
      <c r="B12" s="252">
        <v>44791</v>
      </c>
      <c r="C12" s="253" t="s">
        <v>539</v>
      </c>
      <c r="D12" s="254" t="s">
        <v>698</v>
      </c>
      <c r="E12" s="40"/>
    </row>
    <row r="13" spans="1:5" ht="30" customHeight="1" x14ac:dyDescent="0.3">
      <c r="A13" s="43"/>
      <c r="B13" s="364">
        <v>44791</v>
      </c>
      <c r="C13" s="365" t="s">
        <v>555</v>
      </c>
      <c r="D13" s="366" t="s">
        <v>627</v>
      </c>
      <c r="E13" s="40"/>
    </row>
    <row r="14" spans="1:5" ht="180" customHeight="1" x14ac:dyDescent="0.3">
      <c r="A14" s="43"/>
      <c r="B14" s="252">
        <v>44791</v>
      </c>
      <c r="C14" s="253" t="s">
        <v>383</v>
      </c>
      <c r="D14" s="255" t="s">
        <v>628</v>
      </c>
      <c r="E14" s="40"/>
    </row>
    <row r="15" spans="1:5" ht="45" customHeight="1" x14ac:dyDescent="0.3">
      <c r="A15" s="43"/>
      <c r="B15" s="364">
        <v>44791</v>
      </c>
      <c r="C15" s="365" t="s">
        <v>629</v>
      </c>
      <c r="D15" s="366" t="s">
        <v>699</v>
      </c>
      <c r="E15" s="40"/>
    </row>
    <row r="16" spans="1:5" ht="30" customHeight="1" x14ac:dyDescent="0.3">
      <c r="A16" s="43"/>
      <c r="B16" s="252">
        <v>44791</v>
      </c>
      <c r="C16" s="253" t="s">
        <v>115</v>
      </c>
      <c r="D16" s="255" t="s">
        <v>630</v>
      </c>
      <c r="E16" s="40"/>
    </row>
    <row r="17" spans="1:5" ht="30" customHeight="1" x14ac:dyDescent="0.3">
      <c r="A17" s="43"/>
      <c r="B17" s="364">
        <v>44879</v>
      </c>
      <c r="C17" s="365" t="s">
        <v>383</v>
      </c>
      <c r="D17" s="366" t="s">
        <v>638</v>
      </c>
      <c r="E17" s="40"/>
    </row>
    <row r="18" spans="1:5" ht="66" customHeight="1" x14ac:dyDescent="0.3">
      <c r="A18" s="43"/>
      <c r="B18" s="252">
        <v>44879</v>
      </c>
      <c r="C18" s="253" t="s">
        <v>629</v>
      </c>
      <c r="D18" s="255" t="s">
        <v>639</v>
      </c>
      <c r="E18" s="40"/>
    </row>
    <row r="19" spans="1:5" ht="30" customHeight="1" x14ac:dyDescent="0.3">
      <c r="A19" s="43"/>
      <c r="B19" s="364">
        <v>44879</v>
      </c>
      <c r="C19" s="365" t="s">
        <v>562</v>
      </c>
      <c r="D19" s="366" t="s">
        <v>682</v>
      </c>
      <c r="E19" s="40"/>
    </row>
    <row r="20" spans="1:5" ht="34.9" customHeight="1" x14ac:dyDescent="0.3">
      <c r="A20" s="43"/>
      <c r="B20" s="252">
        <v>44879</v>
      </c>
      <c r="C20" s="253" t="s">
        <v>683</v>
      </c>
      <c r="D20" s="255" t="s">
        <v>684</v>
      </c>
      <c r="E20" s="40"/>
    </row>
    <row r="21" spans="1:5" ht="34.9" customHeight="1" x14ac:dyDescent="0.3">
      <c r="A21" s="43"/>
      <c r="B21" s="364">
        <v>44972</v>
      </c>
      <c r="C21" s="365" t="s">
        <v>555</v>
      </c>
      <c r="D21" s="366" t="s">
        <v>697</v>
      </c>
      <c r="E21" s="40"/>
    </row>
    <row r="22" spans="1:5" ht="34.9" customHeight="1" x14ac:dyDescent="0.3">
      <c r="A22" s="43"/>
      <c r="B22" s="252">
        <v>44972</v>
      </c>
      <c r="C22" s="253" t="s">
        <v>383</v>
      </c>
      <c r="D22" s="255" t="s">
        <v>695</v>
      </c>
      <c r="E22" s="40"/>
    </row>
    <row r="23" spans="1:5" ht="30" customHeight="1" x14ac:dyDescent="0.3">
      <c r="A23" s="43"/>
      <c r="B23" s="364">
        <v>45086</v>
      </c>
      <c r="C23" s="365" t="s">
        <v>555</v>
      </c>
      <c r="D23" s="366" t="s">
        <v>700</v>
      </c>
      <c r="E23" s="40"/>
    </row>
    <row r="24" spans="1:5" ht="30" customHeight="1" x14ac:dyDescent="0.3">
      <c r="A24" s="43"/>
      <c r="B24" s="466">
        <v>45218</v>
      </c>
      <c r="C24" s="467" t="s">
        <v>555</v>
      </c>
      <c r="D24" s="254" t="s">
        <v>808</v>
      </c>
      <c r="E24" s="40"/>
    </row>
    <row r="25" spans="1:5" ht="30" customHeight="1" x14ac:dyDescent="0.3">
      <c r="A25" s="43"/>
      <c r="B25" s="364">
        <v>45229</v>
      </c>
      <c r="C25" s="365" t="s">
        <v>383</v>
      </c>
      <c r="D25" s="366" t="s">
        <v>816</v>
      </c>
      <c r="E25" s="40"/>
    </row>
    <row r="26" spans="1:5" ht="30" customHeight="1" x14ac:dyDescent="0.3">
      <c r="A26" s="43"/>
      <c r="B26" s="466">
        <v>45251</v>
      </c>
      <c r="C26" s="467" t="s">
        <v>383</v>
      </c>
      <c r="D26" s="254" t="s">
        <v>822</v>
      </c>
      <c r="E26" s="40"/>
    </row>
    <row r="27" spans="1:5" ht="30" customHeight="1" x14ac:dyDescent="0.3">
      <c r="A27" s="43"/>
      <c r="B27" s="364">
        <v>45280</v>
      </c>
      <c r="C27" s="365" t="s">
        <v>383</v>
      </c>
      <c r="D27" s="366" t="s">
        <v>824</v>
      </c>
      <c r="E27" s="40"/>
    </row>
    <row r="28" spans="1:5" ht="30" customHeight="1" x14ac:dyDescent="0.3">
      <c r="A28" s="43"/>
      <c r="B28" s="466">
        <v>45280</v>
      </c>
      <c r="C28" s="467" t="s">
        <v>555</v>
      </c>
      <c r="D28" s="254" t="s">
        <v>827</v>
      </c>
      <c r="E28" s="40"/>
    </row>
    <row r="29" spans="1:5" ht="30" customHeight="1" x14ac:dyDescent="0.3">
      <c r="A29" s="43"/>
      <c r="B29" s="364"/>
      <c r="C29" s="365"/>
      <c r="D29" s="366"/>
      <c r="E29" s="40"/>
    </row>
    <row r="30" spans="1:5" ht="30" customHeight="1" x14ac:dyDescent="0.3">
      <c r="A30" s="43"/>
      <c r="B30" s="466"/>
      <c r="C30" s="467"/>
      <c r="D30" s="254"/>
      <c r="E30" s="40"/>
    </row>
    <row r="31" spans="1:5" ht="30" customHeight="1" x14ac:dyDescent="0.3">
      <c r="A31" s="43"/>
      <c r="B31" s="364"/>
      <c r="C31" s="365"/>
      <c r="D31" s="366"/>
      <c r="E31" s="40"/>
    </row>
    <row r="32" spans="1:5" ht="20.25" customHeight="1" x14ac:dyDescent="0.3">
      <c r="A32" s="44"/>
      <c r="B32" s="45"/>
      <c r="C32" s="45"/>
      <c r="D32" s="46"/>
      <c r="E32" s="47"/>
    </row>
    <row r="33" spans="1:5" s="22" customFormat="1" ht="35.25" customHeight="1" x14ac:dyDescent="0.3">
      <c r="A33" s="48"/>
      <c r="B33" s="355" t="s">
        <v>702</v>
      </c>
      <c r="C33" s="314"/>
      <c r="D33" s="314"/>
      <c r="E33" s="49"/>
    </row>
  </sheetData>
  <sheetProtection algorithmName="SHA-512" hashValue="oHmzvM+Am2G8zQ4tVZLPQ/UEk2BSk0CtPct1i94X9Zu3Ing2C1T3JKDwL/f0j7GN5IDe5Gq1acj18iEWVlvCPA==" saltValue="eLvrwnPuv13HA6Oz1DBOzA==" spinCount="100000" sheet="1" objects="1" scenarios="1" formatCells="0" formatColumns="0" formatRows="0"/>
  <dataConsolidate/>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CDDEE5"/>
  </sheetPr>
  <dimension ref="A1:D70"/>
  <sheetViews>
    <sheetView showGridLines="0" zoomScaleNormal="100" workbookViewId="0">
      <selection activeCell="A2" sqref="A2"/>
    </sheetView>
  </sheetViews>
  <sheetFormatPr defaultColWidth="8.6640625" defaultRowHeight="17.25" x14ac:dyDescent="0.3"/>
  <cols>
    <col min="1" max="1" width="6.88671875" style="50" customWidth="1"/>
    <col min="2" max="2" width="35.6640625" style="50" customWidth="1"/>
    <col min="3" max="3" width="100.6640625" style="50" customWidth="1"/>
    <col min="4" max="4" width="47.5546875" style="50" customWidth="1"/>
    <col min="5" max="16384" width="8.6640625" style="21"/>
  </cols>
  <sheetData>
    <row r="1" spans="1:4" ht="28.5" customHeight="1" x14ac:dyDescent="0.25">
      <c r="A1" s="296" t="s">
        <v>543</v>
      </c>
      <c r="B1" s="37"/>
      <c r="C1" s="37"/>
      <c r="D1" s="37"/>
    </row>
    <row r="2" spans="1:4" ht="27" x14ac:dyDescent="0.5">
      <c r="A2" s="461" t="s">
        <v>317</v>
      </c>
      <c r="B2" s="51"/>
      <c r="C2" s="51"/>
      <c r="D2" s="51"/>
    </row>
    <row r="3" spans="1:4" ht="15.95" customHeight="1" x14ac:dyDescent="0.55000000000000004">
      <c r="A3" s="52"/>
      <c r="B3" s="52"/>
      <c r="C3" s="52"/>
      <c r="D3" s="52"/>
    </row>
    <row r="4" spans="1:4" ht="65.25" customHeight="1" x14ac:dyDescent="0.3">
      <c r="A4" s="472" t="s">
        <v>773</v>
      </c>
      <c r="B4" s="472"/>
      <c r="C4" s="472"/>
      <c r="D4" s="472"/>
    </row>
    <row r="5" spans="1:4" ht="40.5" customHeight="1" x14ac:dyDescent="0.3">
      <c r="A5" s="367" t="s">
        <v>113</v>
      </c>
      <c r="B5" s="368"/>
      <c r="C5" s="368"/>
      <c r="D5" s="368"/>
    </row>
    <row r="6" spans="1:4" ht="25.5" customHeight="1" x14ac:dyDescent="0.3">
      <c r="A6" s="473" t="s">
        <v>556</v>
      </c>
      <c r="B6" s="473"/>
      <c r="C6" s="473"/>
      <c r="D6" s="473"/>
    </row>
    <row r="7" spans="1:4" ht="25.5" customHeight="1" x14ac:dyDescent="0.3">
      <c r="A7" s="473" t="s">
        <v>513</v>
      </c>
      <c r="B7" s="473"/>
      <c r="C7" s="473"/>
      <c r="D7" s="473"/>
    </row>
    <row r="8" spans="1:4" ht="25.5" customHeight="1" x14ac:dyDescent="0.3">
      <c r="A8" s="473" t="s">
        <v>514</v>
      </c>
      <c r="B8" s="473"/>
      <c r="C8" s="473"/>
      <c r="D8" s="473"/>
    </row>
    <row r="9" spans="1:4" ht="25.5" customHeight="1" x14ac:dyDescent="0.3">
      <c r="A9" s="473" t="s">
        <v>515</v>
      </c>
      <c r="B9" s="473"/>
      <c r="C9" s="473"/>
      <c r="D9" s="473"/>
    </row>
    <row r="10" spans="1:4" s="22" customFormat="1" ht="25.5" customHeight="1" x14ac:dyDescent="0.3">
      <c r="A10" s="473" t="s">
        <v>516</v>
      </c>
      <c r="B10" s="473"/>
      <c r="C10" s="473"/>
      <c r="D10" s="473"/>
    </row>
    <row r="11" spans="1:4" s="22" customFormat="1" ht="25.5" customHeight="1" x14ac:dyDescent="0.3">
      <c r="A11" s="473" t="s">
        <v>564</v>
      </c>
      <c r="B11" s="473"/>
      <c r="C11" s="473"/>
      <c r="D11" s="473"/>
    </row>
    <row r="12" spans="1:4" s="22" customFormat="1" ht="25.5" customHeight="1" x14ac:dyDescent="0.3">
      <c r="A12" s="473" t="s">
        <v>677</v>
      </c>
      <c r="B12" s="473"/>
      <c r="C12" s="473"/>
      <c r="D12" s="473"/>
    </row>
    <row r="13" spans="1:4" s="22" customFormat="1" ht="25.5" customHeight="1" x14ac:dyDescent="0.3">
      <c r="A13" s="473" t="s">
        <v>678</v>
      </c>
      <c r="B13" s="473"/>
      <c r="C13" s="473"/>
      <c r="D13" s="473"/>
    </row>
    <row r="14" spans="1:4" ht="45" customHeight="1" x14ac:dyDescent="0.3">
      <c r="A14" s="367" t="s">
        <v>556</v>
      </c>
      <c r="B14" s="368"/>
      <c r="C14" s="368"/>
      <c r="D14" s="368"/>
    </row>
    <row r="15" spans="1:4" ht="48" customHeight="1" x14ac:dyDescent="0.3">
      <c r="A15" s="475" t="s">
        <v>809</v>
      </c>
      <c r="B15" s="475"/>
      <c r="C15" s="475"/>
      <c r="D15" s="475"/>
    </row>
    <row r="16" spans="1:4" ht="48" customHeight="1" x14ac:dyDescent="0.3">
      <c r="A16" s="476" t="s">
        <v>810</v>
      </c>
      <c r="B16" s="476"/>
      <c r="C16" s="476"/>
      <c r="D16" s="476"/>
    </row>
    <row r="17" spans="1:4" ht="30" customHeight="1" x14ac:dyDescent="0.3">
      <c r="A17" s="477" t="s">
        <v>319</v>
      </c>
      <c r="B17" s="477"/>
      <c r="C17" s="53"/>
      <c r="D17" s="53"/>
    </row>
    <row r="18" spans="1:4" ht="45" customHeight="1" x14ac:dyDescent="0.3">
      <c r="A18" s="367" t="s">
        <v>550</v>
      </c>
      <c r="B18" s="368"/>
      <c r="C18" s="368"/>
      <c r="D18" s="368"/>
    </row>
    <row r="19" spans="1:4" ht="70.5" customHeight="1" x14ac:dyDescent="0.3">
      <c r="A19" s="474" t="s">
        <v>551</v>
      </c>
      <c r="B19" s="474"/>
      <c r="C19" s="474"/>
      <c r="D19" s="474"/>
    </row>
    <row r="20" spans="1:4" ht="164.45" customHeight="1" x14ac:dyDescent="0.3">
      <c r="A20" s="471" t="s">
        <v>712</v>
      </c>
      <c r="B20" s="471"/>
      <c r="C20" s="471"/>
      <c r="D20" s="471"/>
    </row>
    <row r="21" spans="1:4" ht="31.5" customHeight="1" x14ac:dyDescent="0.3">
      <c r="A21" s="334" t="s">
        <v>703</v>
      </c>
      <c r="B21" s="334"/>
      <c r="C21" s="334"/>
      <c r="D21" s="334"/>
    </row>
    <row r="22" spans="1:4" ht="30" customHeight="1" x14ac:dyDescent="0.3">
      <c r="A22" s="325" t="s">
        <v>505</v>
      </c>
      <c r="B22" s="325"/>
      <c r="C22" s="325"/>
      <c r="D22" s="325"/>
    </row>
    <row r="23" spans="1:4" ht="30" customHeight="1" x14ac:dyDescent="0.3">
      <c r="A23" s="298">
        <v>1</v>
      </c>
      <c r="B23" s="299" t="s">
        <v>762</v>
      </c>
      <c r="C23" s="299"/>
      <c r="D23" s="299"/>
    </row>
    <row r="24" spans="1:4" ht="30" customHeight="1" x14ac:dyDescent="0.3">
      <c r="A24" s="298">
        <v>2</v>
      </c>
      <c r="B24" s="299" t="s">
        <v>763</v>
      </c>
      <c r="C24" s="299"/>
      <c r="D24" s="299"/>
    </row>
    <row r="25" spans="1:4" ht="27.6" customHeight="1" x14ac:dyDescent="0.3">
      <c r="A25" s="298">
        <v>3</v>
      </c>
      <c r="B25" s="478" t="s">
        <v>764</v>
      </c>
      <c r="C25" s="478"/>
      <c r="D25" s="478"/>
    </row>
    <row r="26" spans="1:4" ht="60" customHeight="1" x14ac:dyDescent="0.3">
      <c r="A26" s="298">
        <v>4</v>
      </c>
      <c r="B26" s="478" t="s">
        <v>765</v>
      </c>
      <c r="C26" s="478"/>
      <c r="D26" s="478"/>
    </row>
    <row r="27" spans="1:4" ht="45" customHeight="1" x14ac:dyDescent="0.3">
      <c r="A27" s="298">
        <v>5</v>
      </c>
      <c r="B27" s="478" t="s">
        <v>766</v>
      </c>
      <c r="C27" s="478"/>
      <c r="D27" s="478"/>
    </row>
    <row r="28" spans="1:4" ht="30" customHeight="1" x14ac:dyDescent="0.3">
      <c r="A28" s="298">
        <v>6</v>
      </c>
      <c r="B28" s="299" t="s">
        <v>767</v>
      </c>
      <c r="C28" s="299"/>
      <c r="D28" s="299"/>
    </row>
    <row r="29" spans="1:4" ht="47.45" customHeight="1" x14ac:dyDescent="0.3">
      <c r="A29" s="298">
        <v>7</v>
      </c>
      <c r="B29" s="478" t="s">
        <v>768</v>
      </c>
      <c r="C29" s="478"/>
      <c r="D29" s="478"/>
    </row>
    <row r="30" spans="1:4" ht="30" customHeight="1" x14ac:dyDescent="0.3">
      <c r="A30" s="298">
        <v>8</v>
      </c>
      <c r="B30" s="299" t="s">
        <v>769</v>
      </c>
      <c r="C30" s="299"/>
      <c r="D30" s="299"/>
    </row>
    <row r="31" spans="1:4" s="23" customFormat="1" ht="45" customHeight="1" x14ac:dyDescent="0.3">
      <c r="A31" s="298">
        <v>9</v>
      </c>
      <c r="B31" s="478" t="s">
        <v>770</v>
      </c>
      <c r="C31" s="478"/>
      <c r="D31" s="478"/>
    </row>
    <row r="32" spans="1:4" ht="30" customHeight="1" x14ac:dyDescent="0.3">
      <c r="A32" s="325" t="s">
        <v>499</v>
      </c>
      <c r="B32" s="325"/>
      <c r="C32" s="325"/>
      <c r="D32" s="325"/>
    </row>
    <row r="33" spans="1:4" ht="30" customHeight="1" x14ac:dyDescent="0.3">
      <c r="A33" s="333" t="s">
        <v>318</v>
      </c>
      <c r="B33" s="333"/>
      <c r="C33" s="333"/>
      <c r="D33" s="333"/>
    </row>
    <row r="34" spans="1:4" ht="30" customHeight="1" x14ac:dyDescent="0.3">
      <c r="A34" s="300">
        <v>1</v>
      </c>
      <c r="B34" s="478" t="s">
        <v>771</v>
      </c>
      <c r="C34" s="478"/>
      <c r="D34" s="478"/>
    </row>
    <row r="35" spans="1:4" ht="30" customHeight="1" x14ac:dyDescent="0.3">
      <c r="A35" s="300">
        <v>2</v>
      </c>
      <c r="B35" s="299" t="s">
        <v>772</v>
      </c>
      <c r="C35" s="299"/>
      <c r="D35" s="299"/>
    </row>
    <row r="36" spans="1:4" ht="45" customHeight="1" x14ac:dyDescent="0.3">
      <c r="A36" s="472" t="s">
        <v>544</v>
      </c>
      <c r="B36" s="472"/>
      <c r="C36" s="472"/>
      <c r="D36" s="472"/>
    </row>
    <row r="37" spans="1:4" ht="45" customHeight="1" x14ac:dyDescent="0.3">
      <c r="A37" s="477" t="s">
        <v>319</v>
      </c>
      <c r="B37" s="477"/>
      <c r="C37" s="53"/>
      <c r="D37" s="53"/>
    </row>
    <row r="38" spans="1:4" ht="45" customHeight="1" x14ac:dyDescent="0.3">
      <c r="A38" s="367" t="s">
        <v>514</v>
      </c>
      <c r="B38" s="368"/>
      <c r="C38" s="368"/>
      <c r="D38" s="368"/>
    </row>
    <row r="39" spans="1:4" ht="45" customHeight="1" x14ac:dyDescent="0.3">
      <c r="A39" s="472" t="s">
        <v>713</v>
      </c>
      <c r="B39" s="472"/>
      <c r="C39" s="472"/>
      <c r="D39" s="472"/>
    </row>
    <row r="40" spans="1:4" ht="20.100000000000001" customHeight="1" x14ac:dyDescent="0.3">
      <c r="A40" s="325" t="s">
        <v>506</v>
      </c>
      <c r="B40" s="325"/>
      <c r="C40" s="325"/>
      <c r="D40" s="325"/>
    </row>
    <row r="41" spans="1:4" ht="30" customHeight="1" x14ac:dyDescent="0.3">
      <c r="A41" s="302">
        <v>1</v>
      </c>
      <c r="B41" s="301" t="s">
        <v>730</v>
      </c>
      <c r="C41" s="54"/>
      <c r="D41" s="54"/>
    </row>
    <row r="42" spans="1:4" ht="30" customHeight="1" x14ac:dyDescent="0.3">
      <c r="A42" s="302">
        <v>2</v>
      </c>
      <c r="B42" s="301" t="s">
        <v>731</v>
      </c>
      <c r="C42" s="55"/>
      <c r="D42" s="55"/>
    </row>
    <row r="43" spans="1:4" ht="30" customHeight="1" x14ac:dyDescent="0.3">
      <c r="A43" s="302">
        <v>3</v>
      </c>
      <c r="B43" s="301" t="s">
        <v>732</v>
      </c>
      <c r="C43" s="55"/>
      <c r="D43" s="55"/>
    </row>
    <row r="44" spans="1:4" ht="30" customHeight="1" x14ac:dyDescent="0.3">
      <c r="A44" s="302">
        <v>4</v>
      </c>
      <c r="B44" s="301" t="s">
        <v>733</v>
      </c>
      <c r="C44" s="55"/>
      <c r="D44" s="55"/>
    </row>
    <row r="45" spans="1:4" ht="37.15" customHeight="1" x14ac:dyDescent="0.3">
      <c r="A45" s="479" t="s">
        <v>774</v>
      </c>
      <c r="B45" s="479"/>
      <c r="C45" s="479"/>
      <c r="D45" s="479"/>
    </row>
    <row r="46" spans="1:4" ht="30" customHeight="1" x14ac:dyDescent="0.3">
      <c r="A46" s="332" t="s">
        <v>320</v>
      </c>
      <c r="B46" s="332"/>
      <c r="C46" s="332"/>
      <c r="D46" s="332"/>
    </row>
    <row r="47" spans="1:4" ht="30" customHeight="1" x14ac:dyDescent="0.3">
      <c r="A47" s="259">
        <v>1</v>
      </c>
      <c r="B47" s="478" t="s">
        <v>775</v>
      </c>
      <c r="C47" s="478"/>
      <c r="D47" s="478"/>
    </row>
    <row r="48" spans="1:4" ht="20.100000000000001" customHeight="1" x14ac:dyDescent="0.3">
      <c r="A48" s="259">
        <v>2</v>
      </c>
      <c r="B48" s="299" t="s">
        <v>776</v>
      </c>
      <c r="C48" s="299"/>
      <c r="D48" s="299"/>
    </row>
    <row r="49" spans="1:4" ht="45" customHeight="1" x14ac:dyDescent="0.3">
      <c r="A49" s="472" t="s">
        <v>545</v>
      </c>
      <c r="B49" s="472"/>
      <c r="C49" s="472"/>
      <c r="D49" s="472"/>
    </row>
    <row r="50" spans="1:4" ht="30" customHeight="1" x14ac:dyDescent="0.3">
      <c r="A50" s="477" t="s">
        <v>319</v>
      </c>
      <c r="B50" s="477"/>
      <c r="C50" s="303"/>
      <c r="D50" s="303"/>
    </row>
    <row r="51" spans="1:4" ht="45" customHeight="1" x14ac:dyDescent="0.3">
      <c r="A51" s="367" t="s">
        <v>515</v>
      </c>
      <c r="B51" s="368"/>
      <c r="C51" s="368"/>
      <c r="D51" s="368"/>
    </row>
    <row r="52" spans="1:4" ht="45" customHeight="1" x14ac:dyDescent="0.3">
      <c r="A52" s="472" t="s">
        <v>507</v>
      </c>
      <c r="B52" s="472"/>
      <c r="C52" s="472"/>
      <c r="D52" s="472"/>
    </row>
    <row r="53" spans="1:4" ht="20.100000000000001" customHeight="1" x14ac:dyDescent="0.3">
      <c r="A53" s="325" t="s">
        <v>508</v>
      </c>
      <c r="B53" s="325"/>
      <c r="C53" s="325"/>
      <c r="D53" s="325"/>
    </row>
    <row r="54" spans="1:4" ht="30" customHeight="1" x14ac:dyDescent="0.3">
      <c r="A54" s="477" t="s">
        <v>319</v>
      </c>
      <c r="B54" s="477"/>
      <c r="C54" s="304"/>
      <c r="D54" s="304"/>
    </row>
    <row r="55" spans="1:4" ht="45" customHeight="1" x14ac:dyDescent="0.3">
      <c r="A55" s="367" t="s">
        <v>516</v>
      </c>
      <c r="B55" s="368"/>
      <c r="C55" s="368"/>
      <c r="D55" s="368"/>
    </row>
    <row r="56" spans="1:4" ht="20.100000000000001" customHeight="1" x14ac:dyDescent="0.3">
      <c r="A56" s="323" t="s">
        <v>509</v>
      </c>
      <c r="B56" s="323"/>
      <c r="C56" s="323"/>
      <c r="D56" s="323"/>
    </row>
    <row r="57" spans="1:4" ht="20.100000000000001" customHeight="1" x14ac:dyDescent="0.3">
      <c r="A57" s="324" t="s">
        <v>510</v>
      </c>
      <c r="B57" s="324"/>
      <c r="C57" s="324"/>
      <c r="D57" s="324"/>
    </row>
    <row r="58" spans="1:4" ht="30" customHeight="1" x14ac:dyDescent="0.3">
      <c r="A58" s="477" t="s">
        <v>319</v>
      </c>
      <c r="B58" s="477"/>
      <c r="C58" s="304"/>
      <c r="D58" s="304"/>
    </row>
    <row r="59" spans="1:4" ht="45" customHeight="1" x14ac:dyDescent="0.3">
      <c r="A59" s="367" t="s">
        <v>517</v>
      </c>
      <c r="B59" s="368"/>
      <c r="C59" s="368"/>
      <c r="D59" s="368"/>
    </row>
    <row r="60" spans="1:4" ht="20.100000000000001" customHeight="1" x14ac:dyDescent="0.3">
      <c r="A60" s="323" t="s">
        <v>546</v>
      </c>
      <c r="B60" s="323"/>
      <c r="C60" s="323"/>
      <c r="D60" s="323"/>
    </row>
    <row r="61" spans="1:4" ht="20.100000000000001" customHeight="1" x14ac:dyDescent="0.3">
      <c r="A61" s="324" t="s">
        <v>511</v>
      </c>
      <c r="B61" s="325"/>
      <c r="C61" s="325"/>
      <c r="D61" s="325"/>
    </row>
    <row r="62" spans="1:4" ht="30" customHeight="1" x14ac:dyDescent="0.3">
      <c r="A62" s="477" t="s">
        <v>319</v>
      </c>
      <c r="B62" s="477"/>
      <c r="C62" s="304"/>
      <c r="D62" s="304"/>
    </row>
    <row r="63" spans="1:4" ht="45" customHeight="1" x14ac:dyDescent="0.3">
      <c r="A63" s="367" t="s">
        <v>679</v>
      </c>
      <c r="B63" s="368"/>
      <c r="C63" s="368"/>
      <c r="D63" s="368"/>
    </row>
    <row r="64" spans="1:4" ht="20.100000000000001" customHeight="1" x14ac:dyDescent="0.3">
      <c r="A64" s="325" t="s">
        <v>680</v>
      </c>
      <c r="B64" s="325"/>
      <c r="C64" s="325"/>
      <c r="D64" s="325"/>
    </row>
    <row r="65" spans="1:4" ht="30" customHeight="1" x14ac:dyDescent="0.3">
      <c r="A65" s="477" t="s">
        <v>319</v>
      </c>
      <c r="B65" s="477"/>
      <c r="C65" s="304"/>
      <c r="D65" s="304"/>
    </row>
    <row r="66" spans="1:4" ht="45" customHeight="1" x14ac:dyDescent="0.3">
      <c r="A66" s="367" t="s">
        <v>678</v>
      </c>
      <c r="B66" s="368"/>
      <c r="C66" s="368"/>
      <c r="D66" s="368"/>
    </row>
    <row r="67" spans="1:4" ht="20.100000000000001" customHeight="1" x14ac:dyDescent="0.3">
      <c r="A67" s="325" t="s">
        <v>681</v>
      </c>
      <c r="B67" s="325"/>
      <c r="C67" s="325"/>
      <c r="D67" s="325"/>
    </row>
    <row r="68" spans="1:4" ht="30" customHeight="1" x14ac:dyDescent="0.3">
      <c r="A68" s="477" t="s">
        <v>319</v>
      </c>
      <c r="B68" s="477"/>
      <c r="C68" s="304"/>
      <c r="D68" s="304"/>
    </row>
    <row r="69" spans="1:4" ht="20.25" customHeight="1" x14ac:dyDescent="0.3">
      <c r="A69" s="44"/>
      <c r="B69" s="45"/>
      <c r="C69" s="45"/>
      <c r="D69" s="46"/>
    </row>
    <row r="70" spans="1:4" s="22" customFormat="1" ht="35.25" customHeight="1" x14ac:dyDescent="0.3">
      <c r="A70" s="48"/>
      <c r="B70" s="355" t="s">
        <v>702</v>
      </c>
      <c r="C70" s="314"/>
      <c r="D70" s="314"/>
    </row>
  </sheetData>
  <sheetProtection formatCells="0" formatColumns="0" formatRows="0"/>
  <dataConsolidate/>
  <mergeCells count="33">
    <mergeCell ref="A62:B62"/>
    <mergeCell ref="A68:B68"/>
    <mergeCell ref="A65:B65"/>
    <mergeCell ref="A54:B54"/>
    <mergeCell ref="A39:D39"/>
    <mergeCell ref="A45:D45"/>
    <mergeCell ref="A58:B58"/>
    <mergeCell ref="A52:D52"/>
    <mergeCell ref="B47:D47"/>
    <mergeCell ref="A49:D49"/>
    <mergeCell ref="A50:B50"/>
    <mergeCell ref="B25:D25"/>
    <mergeCell ref="B29:D29"/>
    <mergeCell ref="A36:D36"/>
    <mergeCell ref="A37:B37"/>
    <mergeCell ref="B26:D26"/>
    <mergeCell ref="B27:D27"/>
    <mergeCell ref="B31:D31"/>
    <mergeCell ref="B34:D34"/>
    <mergeCell ref="A20:D20"/>
    <mergeCell ref="A4:D4"/>
    <mergeCell ref="A6:D6"/>
    <mergeCell ref="A7:D7"/>
    <mergeCell ref="A12:D12"/>
    <mergeCell ref="A19:D19"/>
    <mergeCell ref="A8:D8"/>
    <mergeCell ref="A9:D9"/>
    <mergeCell ref="A10:D10"/>
    <mergeCell ref="A11:D11"/>
    <mergeCell ref="A13:D13"/>
    <mergeCell ref="A15:D15"/>
    <mergeCell ref="A16:D16"/>
    <mergeCell ref="A17:B17"/>
  </mergeCells>
  <hyperlinks>
    <hyperlink ref="A7:D7" location="About_the_File_Level_Request_Worksheet" display="About the File-Level Request Worksheet" xr:uid="{00000000-0004-0000-0200-000000000000}"/>
    <hyperlink ref="A8:D8" location="About_the_PDE_Request_Worksheet" display="About the PDE_Request Worksheet" xr:uid="{00000000-0004-0000-0200-000003000000}"/>
    <hyperlink ref="A9:D9" location="About_the_Summary_Worksheet" display="About the Summary Worksheet" xr:uid="{00000000-0004-0000-0200-000005000000}"/>
    <hyperlink ref="A10:D10" location="About_the_App_A_File_Desc_Worksheet" display="About the App_A_File_Desc Worksheet" xr:uid="{00000000-0004-0000-0200-000006000000}"/>
    <hyperlink ref="A37" location="Table_of_Contents" display="Return to Table of Contents" xr:uid="{00000000-0004-0000-0200-000007000000}"/>
    <hyperlink ref="A37:B37" location="Table_of_Contents" display="Return to Table of Contents" xr:uid="{00000000-0004-0000-0200-000008000000}"/>
    <hyperlink ref="A50" location="Table_of_Contents" display="Return to Table of Contents" xr:uid="{00000000-0004-0000-0200-00000D000000}"/>
    <hyperlink ref="A50:B50" location="Table_of_Contents" display="Return to Table of Contents" xr:uid="{00000000-0004-0000-0200-00000E000000}"/>
    <hyperlink ref="A54" location="Table_of_Contents" display="Return to Table of Contents" xr:uid="{00000000-0004-0000-0200-000011000000}"/>
    <hyperlink ref="A54:B54" location="Table_of_Contents" display="Return to Table of Contents" xr:uid="{00000000-0004-0000-0200-000012000000}"/>
    <hyperlink ref="A58" location="Table_of_Contents" display="Return to Table of Contents" xr:uid="{00000000-0004-0000-0200-000013000000}"/>
    <hyperlink ref="A58:B58" location="Table_of_Contents" display="Return to Table of Contents" xr:uid="{00000000-0004-0000-0200-000014000000}"/>
    <hyperlink ref="A12:D12" location="About_the_App_D_Acronyms_Worksheet" display="About App_D_TAF_Availability" xr:uid="{00000000-0004-0000-0200-000017000000}"/>
    <hyperlink ref="A65" location="Table_of_Contents" display="Return to Table of Contents" xr:uid="{00000000-0004-0000-0200-000018000000}"/>
    <hyperlink ref="A65:B65" location="Table_of_Contents" display="Return to Table of Contents" xr:uid="{00000000-0004-0000-0200-000019000000}"/>
    <hyperlink ref="A68" location="Table_of_Contents" display="Return to Table of Contents" xr:uid="{00000000-0004-0000-0200-00001A000000}"/>
    <hyperlink ref="A68:B68" location="Table_of_Contents" display="Return to Table of Contents" xr:uid="{00000000-0004-0000-0200-00001B000000}"/>
    <hyperlink ref="A11:D11" location="About_the_App_B_Encryotion_Levels_Worksheet" display="About App_B_Encryption Levels Worksheet" xr:uid="{00000000-0004-0000-0200-00001C000000}"/>
    <hyperlink ref="A13:D13" location="About_the_App_E_Glossary_Worksheet" display="About App_E_Glossary" xr:uid="{00000000-0004-0000-0200-00001D000000}"/>
    <hyperlink ref="A62" location="Table_of_Contents" display="Return to Table of Contents" xr:uid="{00000000-0004-0000-0200-00001E000000}"/>
    <hyperlink ref="A62:B62" location="Table_of_Contents" display="Return to Table of Contents" xr:uid="{00000000-0004-0000-0200-00001F000000}"/>
    <hyperlink ref="A6:D6" location="About_Request_Form!A14" display="About the Research_Project_Info Tab" xr:uid="{00000000-0004-0000-0200-000022000000}"/>
    <hyperlink ref="A17" location="Table_of_Contents" display="Return to Table of Contents" xr:uid="{00000000-0004-0000-0200-000023000000}"/>
    <hyperlink ref="A17:B17" location="Table_of_Contents" display="Return to Table of Contents" xr:uid="{00000000-0004-0000-0200-000024000000}"/>
    <hyperlink ref="A45:D45" location="App_D_Glossary!A1" display="Within each variable category, the tab specifies the Variable Name/Alias, Variable Label, and Variable Description. For definitions of these terms, refer to the Appendix D: Glossary tab." xr:uid="{06ED362E-600D-417F-9033-187CABE65B58}"/>
  </hyperlink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CDDEE5"/>
  </sheetPr>
  <dimension ref="A1:B21"/>
  <sheetViews>
    <sheetView showGridLines="0" zoomScaleNormal="100" workbookViewId="0">
      <selection activeCell="A2" sqref="A2"/>
    </sheetView>
  </sheetViews>
  <sheetFormatPr defaultColWidth="8.6640625" defaultRowHeight="17.25" x14ac:dyDescent="0.3"/>
  <cols>
    <col min="1" max="1" width="9.44140625" style="50" customWidth="1"/>
    <col min="2" max="2" width="185.6640625" style="50" customWidth="1"/>
    <col min="3" max="16384" width="8.6640625" style="21"/>
  </cols>
  <sheetData>
    <row r="1" spans="1:2" ht="28.5" customHeight="1" x14ac:dyDescent="0.25">
      <c r="A1" s="296" t="s">
        <v>543</v>
      </c>
      <c r="B1" s="37"/>
    </row>
    <row r="2" spans="1:2" ht="27.95" customHeight="1" x14ac:dyDescent="0.5">
      <c r="A2" s="469" t="s">
        <v>494</v>
      </c>
      <c r="B2" s="51"/>
    </row>
    <row r="3" spans="1:2" ht="15.95" customHeight="1" x14ac:dyDescent="0.5">
      <c r="A3" s="469"/>
      <c r="B3" s="51"/>
    </row>
    <row r="4" spans="1:2" ht="39.6" customHeight="1" x14ac:dyDescent="0.55000000000000004">
      <c r="A4" s="432" t="s">
        <v>560</v>
      </c>
      <c r="B4" s="435"/>
    </row>
    <row r="5" spans="1:2" ht="22.9" customHeight="1" x14ac:dyDescent="0.55000000000000004">
      <c r="A5" s="433" t="s">
        <v>793</v>
      </c>
      <c r="B5" s="435"/>
    </row>
    <row r="6" spans="1:2" s="22" customFormat="1" ht="31.15" customHeight="1" x14ac:dyDescent="0.3">
      <c r="A6" s="437" t="s">
        <v>794</v>
      </c>
      <c r="B6" s="436"/>
    </row>
    <row r="7" spans="1:2" s="22" customFormat="1" ht="21.6" customHeight="1" x14ac:dyDescent="0.3">
      <c r="A7" s="445" t="s">
        <v>801</v>
      </c>
      <c r="B7" s="436"/>
    </row>
    <row r="8" spans="1:2" s="22" customFormat="1" ht="33" customHeight="1" x14ac:dyDescent="0.3">
      <c r="A8" s="447" t="s">
        <v>802</v>
      </c>
      <c r="B8" s="436"/>
    </row>
    <row r="9" spans="1:2" ht="33" customHeight="1" x14ac:dyDescent="0.3">
      <c r="A9" s="444" t="s">
        <v>797</v>
      </c>
      <c r="B9" s="56"/>
    </row>
    <row r="10" spans="1:2" ht="25.15" customHeight="1" x14ac:dyDescent="0.3">
      <c r="A10" s="442">
        <v>1</v>
      </c>
      <c r="B10" s="335" t="s">
        <v>799</v>
      </c>
    </row>
    <row r="11" spans="1:2" ht="19.899999999999999" customHeight="1" x14ac:dyDescent="0.3">
      <c r="A11" s="442"/>
      <c r="B11" s="443" t="s">
        <v>800</v>
      </c>
    </row>
    <row r="12" spans="1:2" ht="25.15" customHeight="1" x14ac:dyDescent="0.3">
      <c r="A12" s="369">
        <v>2</v>
      </c>
      <c r="B12" s="326" t="s">
        <v>795</v>
      </c>
    </row>
    <row r="13" spans="1:2" ht="25.15" customHeight="1" x14ac:dyDescent="0.3">
      <c r="A13" s="369">
        <v>3</v>
      </c>
      <c r="B13" s="326" t="s">
        <v>815</v>
      </c>
    </row>
    <row r="14" spans="1:2" ht="25.15" customHeight="1" x14ac:dyDescent="0.3">
      <c r="A14" s="369">
        <v>4</v>
      </c>
      <c r="B14" s="326" t="s">
        <v>796</v>
      </c>
    </row>
    <row r="15" spans="1:2" ht="25.15" customHeight="1" x14ac:dyDescent="0.3">
      <c r="A15" s="369">
        <v>5</v>
      </c>
      <c r="B15" s="326" t="s">
        <v>321</v>
      </c>
    </row>
    <row r="16" spans="1:2" ht="20.100000000000001" customHeight="1" x14ac:dyDescent="0.3">
      <c r="A16" s="42"/>
      <c r="B16" s="326" t="s">
        <v>322</v>
      </c>
    </row>
    <row r="17" spans="1:2" ht="20.100000000000001" customHeight="1" x14ac:dyDescent="0.3">
      <c r="A17" s="43"/>
      <c r="B17" s="55" t="s">
        <v>323</v>
      </c>
    </row>
    <row r="18" spans="1:2" ht="20.100000000000001" customHeight="1" x14ac:dyDescent="0.3">
      <c r="A18" s="43"/>
      <c r="B18" s="55" t="s">
        <v>803</v>
      </c>
    </row>
    <row r="19" spans="1:2" ht="25.9" customHeight="1" x14ac:dyDescent="0.3">
      <c r="A19" s="43"/>
      <c r="B19" s="446" t="s">
        <v>804</v>
      </c>
    </row>
    <row r="20" spans="1:2" ht="25.15" customHeight="1" x14ac:dyDescent="0.3">
      <c r="A20" s="441">
        <v>6</v>
      </c>
      <c r="B20" s="440" t="s">
        <v>798</v>
      </c>
    </row>
    <row r="21" spans="1:2" s="23" customFormat="1" ht="49.9" customHeight="1" x14ac:dyDescent="0.3">
      <c r="A21" s="439" t="s">
        <v>702</v>
      </c>
      <c r="B21" s="438"/>
    </row>
  </sheetData>
  <sheetProtection algorithmName="SHA-512" hashValue="QyuQj6Reti84RhdKR3uqrqHjfUdsPT4GWr979lpOZydhwCgGOOXPoURNvER/ij/ZUvXsgrnfS7xRLp6R/ssIYA==" saltValue="5LwPs0j2a7xHqlGHoXndOw==" spinCount="100000" sheet="1" objects="1" scenarios="1" formatCells="0" formatColumns="0" formatRows="0"/>
  <dataConsolidate/>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1">
    <tabColor rgb="FF09597D"/>
  </sheetPr>
  <dimension ref="A1:G49"/>
  <sheetViews>
    <sheetView showGridLines="0" zoomScaleNormal="100" workbookViewId="0">
      <selection activeCell="A2" sqref="A2"/>
    </sheetView>
  </sheetViews>
  <sheetFormatPr defaultColWidth="8.6640625" defaultRowHeight="17.25" x14ac:dyDescent="0.3"/>
  <cols>
    <col min="1" max="1" width="7.77734375" style="50" customWidth="1"/>
    <col min="2" max="2" width="50.6640625" style="50" customWidth="1"/>
    <col min="3" max="3" width="4.21875" style="50" customWidth="1"/>
    <col min="4" max="4" width="40.6640625" style="50" customWidth="1"/>
    <col min="5" max="5" width="4.33203125" style="50" customWidth="1"/>
    <col min="6" max="6" width="40.6640625" style="50" customWidth="1"/>
    <col min="7" max="7" width="8.6640625" style="50" customWidth="1"/>
    <col min="8" max="11" width="8.6640625" style="21" customWidth="1"/>
    <col min="12" max="16384" width="8.6640625" style="21"/>
  </cols>
  <sheetData>
    <row r="1" spans="1:7" ht="28.35" customHeight="1" x14ac:dyDescent="0.25">
      <c r="A1" s="296" t="s">
        <v>543</v>
      </c>
      <c r="B1" s="37"/>
      <c r="C1" s="37"/>
      <c r="D1" s="37"/>
      <c r="E1" s="37"/>
      <c r="F1" s="37"/>
      <c r="G1" s="37"/>
    </row>
    <row r="2" spans="1:7" ht="30.75" x14ac:dyDescent="0.55000000000000004">
      <c r="A2" s="462" t="s">
        <v>547</v>
      </c>
      <c r="B2" s="57"/>
      <c r="C2" s="58"/>
      <c r="D2" s="58"/>
      <c r="E2" s="58"/>
      <c r="F2" s="58"/>
      <c r="G2" s="58"/>
    </row>
    <row r="3" spans="1:7" ht="15.95" customHeight="1" x14ac:dyDescent="0.55000000000000004">
      <c r="A3" s="59"/>
      <c r="B3" s="59"/>
      <c r="C3" s="59"/>
      <c r="D3" s="59"/>
      <c r="E3" s="59"/>
      <c r="F3" s="59"/>
      <c r="G3" s="59"/>
    </row>
    <row r="4" spans="1:7" s="25" customFormat="1" ht="35.25" customHeight="1" x14ac:dyDescent="0.3">
      <c r="A4" s="421" t="s">
        <v>519</v>
      </c>
      <c r="B4" s="370"/>
      <c r="C4" s="370"/>
      <c r="D4" s="370"/>
      <c r="E4" s="370"/>
      <c r="F4" s="370"/>
      <c r="G4" s="371"/>
    </row>
    <row r="5" spans="1:7" s="33" customFormat="1" ht="20.25" customHeight="1" x14ac:dyDescent="0.3">
      <c r="A5" s="427" t="s">
        <v>186</v>
      </c>
      <c r="B5" s="429" t="s">
        <v>522</v>
      </c>
      <c r="C5" s="372"/>
      <c r="D5" s="372"/>
      <c r="E5" s="372"/>
      <c r="F5" s="372"/>
      <c r="G5" s="373"/>
    </row>
    <row r="6" spans="1:7" s="33" customFormat="1" ht="20.25" customHeight="1" x14ac:dyDescent="0.3">
      <c r="A6" s="427" t="s">
        <v>187</v>
      </c>
      <c r="B6" s="430" t="s">
        <v>791</v>
      </c>
      <c r="C6" s="374"/>
      <c r="D6" s="374"/>
      <c r="E6" s="374"/>
      <c r="F6" s="374"/>
      <c r="G6" s="373"/>
    </row>
    <row r="7" spans="1:7" s="33" customFormat="1" ht="30" customHeight="1" x14ac:dyDescent="0.3">
      <c r="A7" s="428">
        <v>2</v>
      </c>
      <c r="B7" s="431" t="s">
        <v>96</v>
      </c>
      <c r="C7" s="375"/>
      <c r="D7" s="375"/>
      <c r="E7" s="375"/>
      <c r="F7" s="375"/>
      <c r="G7" s="376"/>
    </row>
    <row r="8" spans="1:7" ht="30" customHeight="1" x14ac:dyDescent="0.3">
      <c r="A8" s="55"/>
      <c r="B8" s="55"/>
      <c r="C8" s="55"/>
      <c r="D8" s="55"/>
      <c r="E8" s="55"/>
      <c r="F8" s="55"/>
      <c r="G8" s="40"/>
    </row>
    <row r="9" spans="1:7" ht="25.5" customHeight="1" x14ac:dyDescent="0.3">
      <c r="A9" s="44"/>
      <c r="B9" s="60" t="s">
        <v>520</v>
      </c>
      <c r="C9" s="61"/>
      <c r="D9" s="61"/>
      <c r="E9" s="61"/>
      <c r="F9" s="61"/>
      <c r="G9" s="47"/>
    </row>
    <row r="10" spans="1:7" s="27" customFormat="1" ht="24.75" customHeight="1" x14ac:dyDescent="0.3">
      <c r="A10" s="44"/>
      <c r="B10" s="62" t="s">
        <v>548</v>
      </c>
      <c r="C10" s="63"/>
      <c r="D10" s="63"/>
      <c r="E10" s="63"/>
      <c r="F10" s="64"/>
      <c r="G10" s="47"/>
    </row>
    <row r="11" spans="1:7" ht="45" customHeight="1" x14ac:dyDescent="0.3">
      <c r="A11" s="44"/>
      <c r="B11" s="65" t="s">
        <v>549</v>
      </c>
      <c r="C11" s="480"/>
      <c r="D11" s="480"/>
      <c r="E11" s="481"/>
      <c r="F11" s="482"/>
      <c r="G11" s="47"/>
    </row>
    <row r="12" spans="1:7" ht="45" customHeight="1" x14ac:dyDescent="0.3">
      <c r="A12" s="44"/>
      <c r="B12" s="65" t="s">
        <v>734</v>
      </c>
      <c r="C12" s="481"/>
      <c r="D12" s="483"/>
      <c r="E12" s="483"/>
      <c r="F12" s="484"/>
      <c r="G12" s="47"/>
    </row>
    <row r="13" spans="1:7" ht="54.95" customHeight="1" x14ac:dyDescent="0.3">
      <c r="A13" s="44"/>
      <c r="B13" s="65" t="s">
        <v>735</v>
      </c>
      <c r="C13" s="481"/>
      <c r="D13" s="483"/>
      <c r="E13" s="483"/>
      <c r="F13" s="484"/>
      <c r="G13" s="47"/>
    </row>
    <row r="14" spans="1:7" ht="54.95" customHeight="1" x14ac:dyDescent="0.3">
      <c r="A14" s="44"/>
      <c r="B14" s="66" t="s">
        <v>736</v>
      </c>
      <c r="C14" s="485" t="s">
        <v>485</v>
      </c>
      <c r="D14" s="486"/>
      <c r="E14" s="486"/>
      <c r="F14" s="487"/>
      <c r="G14" s="47"/>
    </row>
    <row r="15" spans="1:7" ht="84.95" customHeight="1" x14ac:dyDescent="0.3">
      <c r="A15" s="67"/>
      <c r="B15" s="68" t="s">
        <v>737</v>
      </c>
      <c r="C15" s="481"/>
      <c r="D15" s="483"/>
      <c r="E15" s="483"/>
      <c r="F15" s="484"/>
      <c r="G15" s="47"/>
    </row>
    <row r="16" spans="1:7" ht="24.75" customHeight="1" x14ac:dyDescent="0.3">
      <c r="A16" s="44"/>
      <c r="B16" s="69" t="s">
        <v>726</v>
      </c>
      <c r="C16" s="70"/>
      <c r="D16" s="70"/>
      <c r="E16" s="70"/>
      <c r="F16" s="71"/>
      <c r="G16" s="47"/>
    </row>
    <row r="17" spans="1:7" ht="45" customHeight="1" x14ac:dyDescent="0.3">
      <c r="A17" s="44"/>
      <c r="B17" s="65" t="s">
        <v>738</v>
      </c>
      <c r="C17" s="480"/>
      <c r="D17" s="480"/>
      <c r="E17" s="481"/>
      <c r="F17" s="482"/>
      <c r="G17" s="47"/>
    </row>
    <row r="18" spans="1:7" ht="45" customHeight="1" x14ac:dyDescent="0.3">
      <c r="A18" s="44"/>
      <c r="B18" s="65" t="s">
        <v>739</v>
      </c>
      <c r="C18" s="481"/>
      <c r="D18" s="483"/>
      <c r="E18" s="483"/>
      <c r="F18" s="484"/>
      <c r="G18" s="47"/>
    </row>
    <row r="19" spans="1:7" ht="45" customHeight="1" x14ac:dyDescent="0.3">
      <c r="A19" s="44"/>
      <c r="B19" s="65" t="s">
        <v>740</v>
      </c>
      <c r="C19" s="481"/>
      <c r="D19" s="483"/>
      <c r="E19" s="483"/>
      <c r="F19" s="484"/>
      <c r="G19" s="47"/>
    </row>
    <row r="20" spans="1:7" ht="45" customHeight="1" x14ac:dyDescent="0.3">
      <c r="A20" s="44"/>
      <c r="B20" s="65" t="s">
        <v>741</v>
      </c>
      <c r="C20" s="494"/>
      <c r="D20" s="494"/>
      <c r="E20" s="495"/>
      <c r="F20" s="496"/>
      <c r="G20" s="47"/>
    </row>
    <row r="21" spans="1:7" ht="45" customHeight="1" x14ac:dyDescent="0.3">
      <c r="A21" s="44"/>
      <c r="B21" s="72" t="s">
        <v>742</v>
      </c>
      <c r="C21" s="497"/>
      <c r="D21" s="498"/>
      <c r="E21" s="499"/>
      <c r="F21" s="500"/>
      <c r="G21" s="47"/>
    </row>
    <row r="22" spans="1:7" ht="24.75" customHeight="1" x14ac:dyDescent="0.3">
      <c r="A22" s="44"/>
      <c r="B22" s="69" t="s">
        <v>642</v>
      </c>
      <c r="C22" s="70"/>
      <c r="D22" s="70"/>
      <c r="E22" s="70"/>
      <c r="F22" s="71"/>
      <c r="G22" s="47"/>
    </row>
    <row r="23" spans="1:7" ht="35.25" customHeight="1" x14ac:dyDescent="0.3">
      <c r="A23" s="44"/>
      <c r="B23" s="501" t="s">
        <v>811</v>
      </c>
      <c r="C23" s="468">
        <v>0</v>
      </c>
      <c r="D23" s="311" t="s">
        <v>23</v>
      </c>
      <c r="E23" s="312"/>
      <c r="F23" s="313" t="s">
        <v>104</v>
      </c>
      <c r="G23" s="47"/>
    </row>
    <row r="24" spans="1:7" ht="35.25" customHeight="1" x14ac:dyDescent="0.3">
      <c r="A24" s="44"/>
      <c r="B24" s="502"/>
      <c r="C24" s="74"/>
      <c r="D24" s="311" t="s">
        <v>571</v>
      </c>
      <c r="E24" s="312"/>
      <c r="F24" s="313" t="s">
        <v>120</v>
      </c>
      <c r="G24" s="47"/>
    </row>
    <row r="25" spans="1:7" ht="35.25" customHeight="1" x14ac:dyDescent="0.3">
      <c r="A25" s="44"/>
      <c r="B25" s="502"/>
      <c r="C25" s="74"/>
      <c r="D25" s="311" t="s">
        <v>570</v>
      </c>
      <c r="E25" s="312"/>
      <c r="F25" s="313" t="s">
        <v>116</v>
      </c>
      <c r="G25" s="47"/>
    </row>
    <row r="26" spans="1:7" ht="35.25" customHeight="1" x14ac:dyDescent="0.3">
      <c r="A26" s="44"/>
      <c r="B26" s="502"/>
      <c r="C26" s="75"/>
      <c r="D26" s="311" t="s">
        <v>572</v>
      </c>
      <c r="E26" s="312"/>
      <c r="F26" s="313" t="s">
        <v>117</v>
      </c>
      <c r="G26" s="47"/>
    </row>
    <row r="27" spans="1:7" ht="40.5" customHeight="1" x14ac:dyDescent="0.3">
      <c r="A27" s="44"/>
      <c r="B27" s="502"/>
      <c r="C27" s="76"/>
      <c r="D27" s="311" t="s">
        <v>401</v>
      </c>
      <c r="E27" s="312"/>
      <c r="F27" s="313" t="s">
        <v>105</v>
      </c>
      <c r="G27" s="47"/>
    </row>
    <row r="28" spans="1:7" ht="40.5" customHeight="1" x14ac:dyDescent="0.3">
      <c r="A28" s="44"/>
      <c r="B28" s="502"/>
      <c r="C28" s="75"/>
      <c r="D28" s="311" t="s">
        <v>573</v>
      </c>
      <c r="E28" s="312"/>
      <c r="F28" s="313" t="s">
        <v>106</v>
      </c>
      <c r="G28" s="47"/>
    </row>
    <row r="29" spans="1:7" ht="40.5" customHeight="1" x14ac:dyDescent="0.3">
      <c r="A29" s="44"/>
      <c r="B29" s="502"/>
      <c r="C29" s="75"/>
      <c r="D29" s="311" t="s">
        <v>569</v>
      </c>
      <c r="E29" s="312"/>
      <c r="F29" s="313" t="s">
        <v>103</v>
      </c>
      <c r="G29" s="47"/>
    </row>
    <row r="30" spans="1:7" ht="40.5" customHeight="1" x14ac:dyDescent="0.3">
      <c r="A30" s="44"/>
      <c r="B30" s="502"/>
      <c r="C30" s="75"/>
      <c r="D30" s="311" t="s">
        <v>24</v>
      </c>
      <c r="E30" s="312"/>
      <c r="F30" s="313" t="s">
        <v>107</v>
      </c>
      <c r="G30" s="47"/>
    </row>
    <row r="31" spans="1:7" ht="40.5" customHeight="1" x14ac:dyDescent="0.3">
      <c r="A31" s="44"/>
      <c r="B31" s="502"/>
      <c r="C31" s="75"/>
      <c r="D31" s="311" t="s">
        <v>696</v>
      </c>
      <c r="E31" s="312"/>
      <c r="F31" s="313" t="s">
        <v>118</v>
      </c>
      <c r="G31" s="47"/>
    </row>
    <row r="32" spans="1:7" ht="40.5" customHeight="1" x14ac:dyDescent="0.3">
      <c r="A32" s="44"/>
      <c r="B32" s="503"/>
      <c r="C32" s="73"/>
      <c r="D32" s="312" t="s">
        <v>119</v>
      </c>
      <c r="E32" s="312"/>
      <c r="F32" s="336"/>
      <c r="G32" s="47"/>
    </row>
    <row r="33" spans="1:7" ht="54" customHeight="1" x14ac:dyDescent="0.3">
      <c r="A33" s="44"/>
      <c r="B33" s="77" t="s">
        <v>643</v>
      </c>
      <c r="C33" s="504"/>
      <c r="D33" s="504"/>
      <c r="E33" s="504"/>
      <c r="F33" s="504"/>
      <c r="G33" s="47"/>
    </row>
    <row r="34" spans="1:7" ht="24.75" customHeight="1" x14ac:dyDescent="0.3">
      <c r="A34" s="44"/>
      <c r="B34" s="78" t="s">
        <v>812</v>
      </c>
      <c r="C34" s="70"/>
      <c r="D34" s="70"/>
      <c r="E34" s="70"/>
      <c r="F34" s="70"/>
      <c r="G34" s="470"/>
    </row>
    <row r="35" spans="1:7" ht="54.95" customHeight="1" x14ac:dyDescent="0.3">
      <c r="A35" s="79"/>
      <c r="B35" s="80" t="s">
        <v>826</v>
      </c>
      <c r="C35" s="81"/>
      <c r="D35" s="82" t="s">
        <v>825</v>
      </c>
      <c r="E35" s="81"/>
      <c r="F35" s="82" t="s">
        <v>533</v>
      </c>
      <c r="G35" s="470"/>
    </row>
    <row r="36" spans="1:7" ht="87.95" customHeight="1" x14ac:dyDescent="0.3">
      <c r="A36" s="79"/>
      <c r="B36" s="80" t="s">
        <v>813</v>
      </c>
      <c r="C36" s="361">
        <v>0</v>
      </c>
      <c r="D36" s="83" t="s">
        <v>531</v>
      </c>
      <c r="E36" s="83"/>
      <c r="F36" s="337" t="s">
        <v>532</v>
      </c>
      <c r="G36" s="47"/>
    </row>
    <row r="37" spans="1:7" ht="20.25" customHeight="1" x14ac:dyDescent="0.3">
      <c r="A37" s="44"/>
      <c r="B37" s="84"/>
      <c r="C37" s="46"/>
      <c r="D37" s="46"/>
      <c r="E37" s="46"/>
      <c r="F37" s="46"/>
      <c r="G37" s="47"/>
    </row>
    <row r="38" spans="1:7" ht="25.5" customHeight="1" x14ac:dyDescent="0.3">
      <c r="A38" s="44"/>
      <c r="B38" s="327" t="s">
        <v>521</v>
      </c>
      <c r="C38" s="327"/>
      <c r="D38" s="327"/>
      <c r="E38" s="327"/>
      <c r="F38" s="327"/>
      <c r="G38" s="47"/>
    </row>
    <row r="39" spans="1:7" s="27" customFormat="1" ht="25.5" customHeight="1" x14ac:dyDescent="0.3">
      <c r="A39" s="44"/>
      <c r="B39" s="85" t="s">
        <v>273</v>
      </c>
      <c r="C39" s="86"/>
      <c r="D39" s="86"/>
      <c r="E39" s="86"/>
      <c r="F39" s="87"/>
      <c r="G39" s="47"/>
    </row>
    <row r="40" spans="1:7" ht="45" customHeight="1" x14ac:dyDescent="0.3">
      <c r="A40" s="44"/>
      <c r="B40" s="65" t="s">
        <v>743</v>
      </c>
      <c r="C40" s="505"/>
      <c r="D40" s="505"/>
      <c r="E40" s="505"/>
      <c r="F40" s="505"/>
      <c r="G40" s="47"/>
    </row>
    <row r="41" spans="1:7" ht="25.5" customHeight="1" x14ac:dyDescent="0.3">
      <c r="A41" s="44"/>
      <c r="B41" s="69" t="s">
        <v>542</v>
      </c>
      <c r="C41" s="315"/>
      <c r="D41" s="315"/>
      <c r="E41" s="315"/>
      <c r="F41" s="316"/>
      <c r="G41" s="47"/>
    </row>
    <row r="42" spans="1:7" ht="45" customHeight="1" x14ac:dyDescent="0.3">
      <c r="A42" s="44"/>
      <c r="B42" s="65" t="s">
        <v>744</v>
      </c>
      <c r="C42" s="491"/>
      <c r="D42" s="492"/>
      <c r="E42" s="492"/>
      <c r="F42" s="493"/>
      <c r="G42" s="47"/>
    </row>
    <row r="43" spans="1:7" ht="54.95" customHeight="1" x14ac:dyDescent="0.3">
      <c r="A43" s="44"/>
      <c r="B43" s="65" t="s">
        <v>745</v>
      </c>
      <c r="C43" s="491"/>
      <c r="D43" s="492"/>
      <c r="E43" s="492"/>
      <c r="F43" s="493"/>
      <c r="G43" s="47"/>
    </row>
    <row r="44" spans="1:7" ht="45" customHeight="1" x14ac:dyDescent="0.3">
      <c r="A44" s="44"/>
      <c r="B44" s="65" t="s">
        <v>746</v>
      </c>
      <c r="C44" s="491"/>
      <c r="D44" s="492"/>
      <c r="E44" s="492"/>
      <c r="F44" s="493"/>
      <c r="G44" s="47"/>
    </row>
    <row r="45" spans="1:7" ht="45" customHeight="1" x14ac:dyDescent="0.3">
      <c r="A45" s="44"/>
      <c r="B45" s="65" t="s">
        <v>741</v>
      </c>
      <c r="C45" s="494"/>
      <c r="D45" s="494"/>
      <c r="E45" s="495"/>
      <c r="F45" s="496"/>
      <c r="G45" s="47"/>
    </row>
    <row r="46" spans="1:7" ht="45" customHeight="1" x14ac:dyDescent="0.3">
      <c r="A46" s="44"/>
      <c r="B46" s="72" t="s">
        <v>747</v>
      </c>
      <c r="C46" s="488"/>
      <c r="D46" s="489"/>
      <c r="E46" s="489"/>
      <c r="F46" s="490"/>
      <c r="G46" s="47"/>
    </row>
    <row r="47" spans="1:7" ht="20.25" customHeight="1" x14ac:dyDescent="0.3">
      <c r="A47" s="44"/>
      <c r="B47" s="88"/>
      <c r="C47" s="46"/>
      <c r="D47" s="46"/>
      <c r="E47" s="46"/>
      <c r="F47" s="46"/>
      <c r="G47" s="47"/>
    </row>
    <row r="48" spans="1:7" x14ac:dyDescent="0.3">
      <c r="A48" s="44"/>
      <c r="B48" s="89"/>
      <c r="C48" s="88"/>
      <c r="D48" s="88"/>
      <c r="E48" s="88"/>
      <c r="F48" s="88"/>
      <c r="G48" s="47"/>
    </row>
    <row r="49" spans="1:7" s="22" customFormat="1" ht="35.25" customHeight="1" x14ac:dyDescent="0.3">
      <c r="A49" s="48"/>
      <c r="B49" s="355" t="s">
        <v>702</v>
      </c>
      <c r="C49" s="314"/>
      <c r="D49" s="314"/>
      <c r="E49" s="314"/>
      <c r="F49" s="314"/>
      <c r="G49" s="49"/>
    </row>
  </sheetData>
  <sheetProtection algorithmName="SHA-512" hashValue="HuRu0dHaUUyDSJsU7nYCN4RUB6jxGvVlxwYz8mM7Z0J3PePPCXa9AAoIpPzq7D9DQq0rz38QhvfNDvXhIXSuUg==" saltValue="NbJMG+jO3IO3eZkpvq01NQ==" spinCount="100000" sheet="1" objects="1" scenarios="1" formatCells="0" formatColumns="0" formatRows="0"/>
  <dataConsolidate/>
  <customSheetViews>
    <customSheetView guid="{9DB63C14-8C2E-43D7-ACAD-1DD967C25093}" showGridLines="0">
      <selection sqref="A1:K1"/>
      <pageMargins left="0.7" right="0.7" top="0.75" bottom="0.75" header="0.3" footer="0.3"/>
      <pageSetup orientation="portrait" r:id="rId1"/>
    </customSheetView>
  </customSheetViews>
  <mergeCells count="18">
    <mergeCell ref="B23:B32"/>
    <mergeCell ref="C33:F33"/>
    <mergeCell ref="C40:F40"/>
    <mergeCell ref="C43:F43"/>
    <mergeCell ref="C44:F44"/>
    <mergeCell ref="C46:F46"/>
    <mergeCell ref="C42:F42"/>
    <mergeCell ref="C45:F45"/>
    <mergeCell ref="C21:F21"/>
    <mergeCell ref="C15:F15"/>
    <mergeCell ref="C18:F18"/>
    <mergeCell ref="C19:F19"/>
    <mergeCell ref="C20:F20"/>
    <mergeCell ref="C11:F11"/>
    <mergeCell ref="C12:F12"/>
    <mergeCell ref="C13:F13"/>
    <mergeCell ref="C14:F14"/>
    <mergeCell ref="C17:F17"/>
  </mergeCells>
  <dataValidations xWindow="792" yWindow="679" count="31">
    <dataValidation allowBlank="1" showInputMessage="1" showErrorMessage="1" prompt="Enter any optional comments about your request." sqref="B47" xr:uid="{00000000-0002-0000-0400-00000E000000}"/>
    <dataValidation allowBlank="1" showInputMessage="1" prompt="Select the name of the MedRIC LINKAGE partner affiliated with your study." sqref="C28" xr:uid="{00000000-0002-0000-0400-000010000000}"/>
    <dataValidation allowBlank="1" prompt="Select the name of the MedRIC study partner affiliated with your study." sqref="C32" xr:uid="{00000000-0002-0000-0400-000011000000}"/>
    <dataValidation allowBlank="1" showInputMessage="1" prompt="This study partner’s CMS datasets are forthcoming." sqref="F23 F25:F31" xr:uid="{00000000-0002-0000-0400-000012000000}"/>
    <dataValidation allowBlank="1" showInputMessage="1" showErrorMessage="1" prompt="Enter the name of any non-CMS or non-identifiable files you intend to use along with the CMS data files for your study.affiliated institution or organization for the requester." sqref="C15" xr:uid="{00000000-0002-0000-0400-000015000000}"/>
    <dataValidation allowBlank="1" error="Please enter a valid survey data authorization number (i.e., ####-###)." prompt="If available, enter the data authorization number (i.e., ####-###) from the MedRIC study partner." sqref="F35:F36 D35:D36 E36" xr:uid="{00000000-0002-0000-0400-000016000000}"/>
    <dataValidation allowBlank="1" showInputMessage="1" prompt="Select if you would like to use R analytic software in the Health and Aging Data Enclave. " sqref="E35" xr:uid="{00000000-0002-0000-0400-000018000000}"/>
    <dataValidation allowBlank="1" showInputMessage="1" error="Please enter a valid survey data authorization number (i.e., ####-###)." prompt="Select if you would like to use SAS analytic software in the Health and Aging Data Enclave. " sqref="C36" xr:uid="{00000000-0002-0000-0400-000019000000}"/>
    <dataValidation allowBlank="1" showInputMessage="1" prompt="Select the name of the LINKAGE study partner affiliated with your study." sqref="C23:C27 C29:C31" xr:uid="{2287D9E0-5675-4DF2-B3CF-D5F092BCE955}"/>
    <dataValidation allowBlank="1" showInputMessage="1" prompt="Select the name of the NIA Study Partner affiliated with your study." sqref="D23:E24 D26:E30" xr:uid="{00000000-0002-0000-0400-00001A000000}"/>
    <dataValidation allowBlank="1" showInputMessage="1" showErrorMessage="1" prompt="Select the name of the NIA Study Partner affiliated with your study." sqref="D25:E25" xr:uid="{00000000-0002-0000-0400-00001C000000}"/>
    <dataValidation allowBlank="1" showInputMessage="1" showErrorMessage="1" prompt="Select this option only if you are a Non-Data Sharing Partner and requesting Linked-CMS files for research purpose." sqref="D31:E31" xr:uid="{647E7118-C564-454C-A5C4-91AF58806AE8}"/>
    <dataValidation allowBlank="1" showInputMessage="1" showErrorMessage="1" prompt="This study partner’s CMS datasets are forthcoming." sqref="F24" xr:uid="{00000000-0002-0000-0400-00001B000000}"/>
    <dataValidation type="textLength" allowBlank="1" showInputMessage="1" showErrorMessage="1" prompt="Enter the title of your study." sqref="C11:F11" xr:uid="{00000000-0002-0000-0400-000000000000}">
      <formula1>1</formula1>
      <formula2>250</formula2>
    </dataValidation>
    <dataValidation type="textLength" allowBlank="1" showInputMessage="1" showErrorMessage="1" prompt="Enter the first and last name of your study's POC." sqref="C17:F17" xr:uid="{00000000-0002-0000-0400-000001000000}">
      <formula1>1</formula1>
      <formula2>100</formula2>
    </dataValidation>
    <dataValidation type="custom" allowBlank="1" showInputMessage="1" showErrorMessage="1" error="Please enter a valid 10-digit phone number (i.e., ###-###-####)." prompt="Enter the phone number, excluding dashes and spaces (i.e., ##########), of your study's POC." sqref="C20:F20" xr:uid="{00000000-0002-0000-0400-000002000000}">
      <formula1>AND(OR(LEN(C20)=10),ISNUMBER(C20))</formula1>
    </dataValidation>
    <dataValidation type="textLength" allowBlank="1" showInputMessage="1" showErrorMessage="1" prompt="Enter the street address, city, state, and ZIP code for your study's POC." sqref="C19:F19" xr:uid="{00000000-0002-0000-0400-000003000000}">
      <formula1>1</formula1>
      <formula2>100</formula2>
    </dataValidation>
    <dataValidation allowBlank="1" showInputMessage="1" prompt="Enter your NIA DUA number." sqref="C40:F40" xr:uid="{00000000-0002-0000-0400-000004000000}"/>
    <dataValidation type="textLength" allowBlank="1" showInputMessage="1" prompt="Enter the first and last name of the person who is requesting LINKAGE data files for your study." sqref="C12:F12" xr:uid="{00000000-0002-0000-0400-000005000000}">
      <formula1>1</formula1>
      <formula2>250</formula2>
    </dataValidation>
    <dataValidation type="textLength" allowBlank="1" showInputMessage="1" showErrorMessage="1" prompt="Enter the name of the affiliated institution or organization for the requester." sqref="C13:F13" xr:uid="{00000000-0002-0000-0400-000006000000}">
      <formula1>1</formula1>
      <formula2>250</formula2>
    </dataValidation>
    <dataValidation type="textLength" allowBlank="1" showInputMessage="1" showErrorMessage="1" prompt="Enter the name of the affiliated institution or organization for your study's POC." sqref="C18:F18" xr:uid="{00000000-0002-0000-0400-000007000000}">
      <formula1>1</formula1>
      <formula2>100</formula2>
    </dataValidation>
    <dataValidation type="custom" allowBlank="1" showInputMessage="1" showErrorMessage="1" error="Please enter a valid email address (i.e., username@hostname.domain )." prompt="Enter the business email address (i.e., username@hostname.domain) for your study's POC." sqref="C21:F21" xr:uid="{00000000-0002-0000-0400-000008000000}">
      <formula1>AND(FIND(".",C21),FIND("@",C21))</formula1>
    </dataValidation>
    <dataValidation type="textLength" allowBlank="1" showInputMessage="1" showErrorMessage="1" prompt="Enter the first and last name of the User on your study's NIA DUA." sqref="C42:F42" xr:uid="{00000000-0002-0000-0400-000009000000}">
      <formula1>1</formula1>
      <formula2>250</formula2>
    </dataValidation>
    <dataValidation type="textLength" allowBlank="1" showInputMessage="1" showErrorMessage="1" prompt="Enter the name of the affiliated institution or organization for the User on your study's NIA DUA." sqref="C43:F43" xr:uid="{00000000-0002-0000-0400-00000A000000}">
      <formula1>1</formula1>
      <formula2>250</formula2>
    </dataValidation>
    <dataValidation type="textLength" allowBlank="1" showInputMessage="1" showErrorMessage="1" prompt="Enter the street address, city, state, and ZIP code for the User on your NIA DUA." sqref="C44:F44" xr:uid="{00000000-0002-0000-0400-00000B000000}">
      <formula1>1</formula1>
      <formula2>250</formula2>
    </dataValidation>
    <dataValidation type="custom" allowBlank="1" showInputMessage="1" showErrorMessage="1" error="Please enter a valid 10-digit phone number (i.e., ###-###-####)." prompt="Enter the phone number, excluding dashes and spaces (i.e., ##########), of the User on your study's NIA DUA." sqref="C45:F45" xr:uid="{00000000-0002-0000-0400-00000C000000}">
      <formula1>AND(OR(LEN(C45)=10),ISNUMBER(C45))</formula1>
    </dataValidation>
    <dataValidation type="custom" allowBlank="1" showInputMessage="1" showErrorMessage="1" error="Please enter a valid email address (i.e., username@hostname.domain )." prompt="Enter the email address (i.e., username@hostname.domain) for the User on your NIA DUA." sqref="C46:F46" xr:uid="{00000000-0002-0000-0400-00000D000000}">
      <formula1>AND(FIND(".",C46),FIND("@",C46))</formula1>
    </dataValidation>
    <dataValidation allowBlank="1" prompt="Enter any optional comments about your request." sqref="C47:F47" xr:uid="{00000000-0002-0000-0400-00000F000000}"/>
    <dataValidation allowBlank="1" showInputMessage="1" showErrorMessage="1" error="Please enter a valid survey data authorization number (i.e., ####-###)." prompt="If available, enter the data authorization number (i.e., ####-###) from the study partner." sqref="C33:F33" xr:uid="{00000000-0002-0000-0400-000013000000}"/>
    <dataValidation type="list" allowBlank="1" showInputMessage="1" showErrorMessage="1" prompt="Select a response." sqref="C14:F14" xr:uid="{00000000-0002-0000-0400-000014000000}">
      <formula1>"Select a Response, I plan to request additional years of CMS data, I do NOT plan to request additional years of CMS data"</formula1>
    </dataValidation>
    <dataValidation allowBlank="1" showInputMessage="1" prompt="Select if you would like to use Python analytic software in the Health and Aging Data Enclave. " sqref="C35" xr:uid="{7737246C-7F39-4A1D-9D8C-E6AECA744E79}"/>
  </dataValidations>
  <hyperlinks>
    <hyperlink ref="B6:F6" location="Update_Request_Form" display="If you are submitting an update request, complete the &quot;UPDATE REQUEST FORM&quot; below." xr:uid="{00000000-0004-0000-0400-000000000000}"/>
  </hyperlinks>
  <pageMargins left="0.7" right="0.7" top="0.75" bottom="0.75" header="0.3" footer="0.3"/>
  <pageSetup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141" r:id="rId5" name="Option Button 117">
              <controlPr defaultSize="0" autoFill="0" autoLine="0" autoPict="0" altText="Click to select SAS">
                <anchor moveWithCells="1">
                  <from>
                    <xdr:col>2</xdr:col>
                    <xdr:colOff>104775</xdr:colOff>
                    <xdr:row>35</xdr:row>
                    <xdr:rowOff>447675</xdr:rowOff>
                  </from>
                  <to>
                    <xdr:col>3</xdr:col>
                    <xdr:colOff>704850</xdr:colOff>
                    <xdr:row>35</xdr:row>
                    <xdr:rowOff>657225</xdr:rowOff>
                  </to>
                </anchor>
              </controlPr>
            </control>
          </mc:Choice>
        </mc:AlternateContent>
        <mc:AlternateContent xmlns:mc="http://schemas.openxmlformats.org/markup-compatibility/2006">
          <mc:Choice Requires="x14">
            <control shapeId="1144" r:id="rId6" name="Option Button 120">
              <controlPr defaultSize="0" autoFill="0" autoLine="0" autoPict="0" altText="Click to select STATA">
                <anchor moveWithCells="1">
                  <from>
                    <xdr:col>4</xdr:col>
                    <xdr:colOff>38100</xdr:colOff>
                    <xdr:row>35</xdr:row>
                    <xdr:rowOff>457200</xdr:rowOff>
                  </from>
                  <to>
                    <xdr:col>4</xdr:col>
                    <xdr:colOff>228600</xdr:colOff>
                    <xdr:row>35</xdr:row>
                    <xdr:rowOff>647700</xdr:rowOff>
                  </to>
                </anchor>
              </controlPr>
            </control>
          </mc:Choice>
        </mc:AlternateContent>
        <mc:AlternateContent xmlns:mc="http://schemas.openxmlformats.org/markup-compatibility/2006">
          <mc:Choice Requires="x14">
            <control shapeId="1140" r:id="rId7" name="Option Button 116">
              <controlPr defaultSize="0" autoFill="0" autoLine="0" autoPict="0" altText="Click to Select Health and Retirement Study (HRS)">
                <anchor moveWithCells="1">
                  <from>
                    <xdr:col>2</xdr:col>
                    <xdr:colOff>95250</xdr:colOff>
                    <xdr:row>22</xdr:row>
                    <xdr:rowOff>114300</xdr:rowOff>
                  </from>
                  <to>
                    <xdr:col>3</xdr:col>
                    <xdr:colOff>3028950</xdr:colOff>
                    <xdr:row>22</xdr:row>
                    <xdr:rowOff>342900</xdr:rowOff>
                  </to>
                </anchor>
              </controlPr>
            </control>
          </mc:Choice>
        </mc:AlternateContent>
        <mc:AlternateContent xmlns:mc="http://schemas.openxmlformats.org/markup-compatibility/2006">
          <mc:Choice Requires="x14">
            <control shapeId="1130" r:id="rId8" name="Option Button 106">
              <controlPr defaultSize="0" autoFill="0" autoLine="0" autoPict="0" altText="Click to select Health, Aging, and Body Composition (Health ABC)">
                <anchor moveWithCells="1">
                  <from>
                    <xdr:col>2</xdr:col>
                    <xdr:colOff>104775</xdr:colOff>
                    <xdr:row>23</xdr:row>
                    <xdr:rowOff>104775</xdr:rowOff>
                  </from>
                  <to>
                    <xdr:col>3</xdr:col>
                    <xdr:colOff>3019425</xdr:colOff>
                    <xdr:row>23</xdr:row>
                    <xdr:rowOff>371475</xdr:rowOff>
                  </to>
                </anchor>
              </controlPr>
            </control>
          </mc:Choice>
        </mc:AlternateContent>
        <mc:AlternateContent xmlns:mc="http://schemas.openxmlformats.org/markup-compatibility/2006">
          <mc:Choice Requires="x14">
            <control shapeId="1134" r:id="rId9" name="Option Button 110">
              <controlPr defaultSize="0" autoFill="0" autoLine="0" autoPict="0" altText="Click to select Midlife in the United States (MIDUS)">
                <anchor moveWithCells="1">
                  <from>
                    <xdr:col>2</xdr:col>
                    <xdr:colOff>95250</xdr:colOff>
                    <xdr:row>24</xdr:row>
                    <xdr:rowOff>114300</xdr:rowOff>
                  </from>
                  <to>
                    <xdr:col>3</xdr:col>
                    <xdr:colOff>2181225</xdr:colOff>
                    <xdr:row>24</xdr:row>
                    <xdr:rowOff>333375</xdr:rowOff>
                  </to>
                </anchor>
              </controlPr>
            </control>
          </mc:Choice>
        </mc:AlternateContent>
        <mc:AlternateContent xmlns:mc="http://schemas.openxmlformats.org/markup-compatibility/2006">
          <mc:Choice Requires="x14">
            <control shapeId="1135" r:id="rId10" name="Option Button 111">
              <controlPr defaultSize="0" autoFill="0" autoLine="0" autoPict="0" altText="Click to select Predictors of Severity of Alzheimer's Disease (PSAD)">
                <anchor moveWithCells="1">
                  <from>
                    <xdr:col>2</xdr:col>
                    <xdr:colOff>104775</xdr:colOff>
                    <xdr:row>25</xdr:row>
                    <xdr:rowOff>95250</xdr:rowOff>
                  </from>
                  <to>
                    <xdr:col>3</xdr:col>
                    <xdr:colOff>3009900</xdr:colOff>
                    <xdr:row>25</xdr:row>
                    <xdr:rowOff>361950</xdr:rowOff>
                  </to>
                </anchor>
              </controlPr>
            </control>
          </mc:Choice>
        </mc:AlternateContent>
        <mc:AlternateContent xmlns:mc="http://schemas.openxmlformats.org/markup-compatibility/2006">
          <mc:Choice Requires="x14">
            <control shapeId="1136" r:id="rId11" name="Option Button 112">
              <controlPr defaultSize="0" autoFill="0" autoLine="0" autoPict="0" altText="Click to select Project Talent (PT)">
                <anchor moveWithCells="1">
                  <from>
                    <xdr:col>2</xdr:col>
                    <xdr:colOff>95250</xdr:colOff>
                    <xdr:row>26</xdr:row>
                    <xdr:rowOff>133350</xdr:rowOff>
                  </from>
                  <to>
                    <xdr:col>3</xdr:col>
                    <xdr:colOff>1123950</xdr:colOff>
                    <xdr:row>26</xdr:row>
                    <xdr:rowOff>371475</xdr:rowOff>
                  </to>
                </anchor>
              </controlPr>
            </control>
          </mc:Choice>
        </mc:AlternateContent>
        <mc:AlternateContent xmlns:mc="http://schemas.openxmlformats.org/markup-compatibility/2006">
          <mc:Choice Requires="x14">
            <control shapeId="1138" r:id="rId12" name="Option Button 114">
              <controlPr defaultSize="0" autoFill="0" autoLine="0" autoPict="0" altText="Click to select Rush Alzheimer's Disease Center (RADC)">
                <anchor moveWithCells="1">
                  <from>
                    <xdr:col>2</xdr:col>
                    <xdr:colOff>104775</xdr:colOff>
                    <xdr:row>27</xdr:row>
                    <xdr:rowOff>142875</xdr:rowOff>
                  </from>
                  <to>
                    <xdr:col>3</xdr:col>
                    <xdr:colOff>2381250</xdr:colOff>
                    <xdr:row>27</xdr:row>
                    <xdr:rowOff>352425</xdr:rowOff>
                  </to>
                </anchor>
              </controlPr>
            </control>
          </mc:Choice>
        </mc:AlternateContent>
        <mc:AlternateContent xmlns:mc="http://schemas.openxmlformats.org/markup-compatibility/2006">
          <mc:Choice Requires="x14">
            <control shapeId="1145" r:id="rId13" name="Option Button 121">
              <controlPr defaultSize="0" autoFill="0" autoLine="0" autoPict="0" altText="Click to select Understanding America Study (UAS)">
                <anchor moveWithCells="1">
                  <from>
                    <xdr:col>2</xdr:col>
                    <xdr:colOff>114300</xdr:colOff>
                    <xdr:row>28</xdr:row>
                    <xdr:rowOff>142875</xdr:rowOff>
                  </from>
                  <to>
                    <xdr:col>3</xdr:col>
                    <xdr:colOff>2381250</xdr:colOff>
                    <xdr:row>28</xdr:row>
                    <xdr:rowOff>352425</xdr:rowOff>
                  </to>
                </anchor>
              </controlPr>
            </control>
          </mc:Choice>
        </mc:AlternateContent>
        <mc:AlternateContent xmlns:mc="http://schemas.openxmlformats.org/markup-compatibility/2006">
          <mc:Choice Requires="x14">
            <control shapeId="1146" r:id="rId14" name="Option Button 122">
              <controlPr defaultSize="0" autoFill="0" autoLine="0" autoPict="0" altText="Click to select Wisconsin Longitudinal Study (WLS)">
                <anchor moveWithCells="1">
                  <from>
                    <xdr:col>2</xdr:col>
                    <xdr:colOff>114300</xdr:colOff>
                    <xdr:row>29</xdr:row>
                    <xdr:rowOff>152400</xdr:rowOff>
                  </from>
                  <to>
                    <xdr:col>3</xdr:col>
                    <xdr:colOff>2381250</xdr:colOff>
                    <xdr:row>29</xdr:row>
                    <xdr:rowOff>361950</xdr:rowOff>
                  </to>
                </anchor>
              </controlPr>
            </control>
          </mc:Choice>
        </mc:AlternateContent>
        <mc:AlternateContent xmlns:mc="http://schemas.openxmlformats.org/markup-compatibility/2006">
          <mc:Choice Requires="x14">
            <control shapeId="1142" r:id="rId15" name="Group Box 118">
              <controlPr defaultSize="0" autoFill="0" autoPict="0" altText="Select the NIA-Funded study">
                <anchor moveWithCells="1">
                  <from>
                    <xdr:col>2</xdr:col>
                    <xdr:colOff>0</xdr:colOff>
                    <xdr:row>22</xdr:row>
                    <xdr:rowOff>0</xdr:rowOff>
                  </from>
                  <to>
                    <xdr:col>6</xdr:col>
                    <xdr:colOff>0</xdr:colOff>
                    <xdr:row>32</xdr:row>
                    <xdr:rowOff>0</xdr:rowOff>
                  </to>
                </anchor>
              </controlPr>
            </control>
          </mc:Choice>
        </mc:AlternateContent>
        <mc:AlternateContent xmlns:mc="http://schemas.openxmlformats.org/markup-compatibility/2006">
          <mc:Choice Requires="x14">
            <control shapeId="1147" r:id="rId16" name="Option Button 123">
              <controlPr defaultSize="0" autoFill="0" autoLine="0" autoPict="0" altText="Click to select Study Not Listed Above (Non-Data Sharing Partner Requesting Linked-CMS Data for Research Purpose)">
                <anchor moveWithCells="1">
                  <from>
                    <xdr:col>2</xdr:col>
                    <xdr:colOff>104775</xdr:colOff>
                    <xdr:row>30</xdr:row>
                    <xdr:rowOff>161925</xdr:rowOff>
                  </from>
                  <to>
                    <xdr:col>3</xdr:col>
                    <xdr:colOff>2381250</xdr:colOff>
                    <xdr:row>30</xdr:row>
                    <xdr:rowOff>371475</xdr:rowOff>
                  </to>
                </anchor>
              </controlPr>
            </control>
          </mc:Choice>
        </mc:AlternateContent>
        <mc:AlternateContent xmlns:mc="http://schemas.openxmlformats.org/markup-compatibility/2006">
          <mc:Choice Requires="x14">
            <control shapeId="1143" r:id="rId17" name="Check Box 119">
              <controlPr defaultSize="0" autoFill="0" autoLine="0" autoPict="0" altText="Click to select Python">
                <anchor moveWithCells="1">
                  <from>
                    <xdr:col>2</xdr:col>
                    <xdr:colOff>104775</xdr:colOff>
                    <xdr:row>34</xdr:row>
                    <xdr:rowOff>238125</xdr:rowOff>
                  </from>
                  <to>
                    <xdr:col>3</xdr:col>
                    <xdr:colOff>542925</xdr:colOff>
                    <xdr:row>34</xdr:row>
                    <xdr:rowOff>466725</xdr:rowOff>
                  </to>
                </anchor>
              </controlPr>
            </control>
          </mc:Choice>
        </mc:AlternateContent>
        <mc:AlternateContent xmlns:mc="http://schemas.openxmlformats.org/markup-compatibility/2006">
          <mc:Choice Requires="x14">
            <control shapeId="1148" r:id="rId18" name="Check Box 124">
              <controlPr defaultSize="0" autoFill="0" autoLine="0" autoPict="0" altText="Click to select R">
                <anchor moveWithCells="1">
                  <from>
                    <xdr:col>4</xdr:col>
                    <xdr:colOff>104775</xdr:colOff>
                    <xdr:row>34</xdr:row>
                    <xdr:rowOff>238125</xdr:rowOff>
                  </from>
                  <to>
                    <xdr:col>5</xdr:col>
                    <xdr:colOff>533400</xdr:colOff>
                    <xdr:row>34</xdr:row>
                    <xdr:rowOff>466725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tabColor rgb="FF09597D"/>
  </sheetPr>
  <dimension ref="A1:J112"/>
  <sheetViews>
    <sheetView showGridLines="0" topLeftCell="A2" zoomScaleNormal="100" workbookViewId="0">
      <selection activeCell="A2" sqref="A2"/>
    </sheetView>
  </sheetViews>
  <sheetFormatPr defaultColWidth="8.6640625" defaultRowHeight="17.25" x14ac:dyDescent="0.3"/>
  <cols>
    <col min="1" max="1" width="7.77734375" style="152" customWidth="1"/>
    <col min="2" max="2" width="16.109375" style="152" customWidth="1"/>
    <col min="3" max="3" width="70.6640625" style="152" customWidth="1"/>
    <col min="4" max="4" width="15.6640625" style="152" customWidth="1"/>
    <col min="5" max="5" width="18.6640625" style="153" customWidth="1"/>
    <col min="6" max="7" width="15.6640625" style="153" customWidth="1"/>
    <col min="8" max="8" width="15.6640625" style="152" customWidth="1"/>
    <col min="9" max="9" width="65.6640625" style="152" customWidth="1"/>
    <col min="10" max="10" width="8.6640625" style="152" customWidth="1"/>
    <col min="11" max="15" width="8.6640625" style="21" customWidth="1"/>
    <col min="16" max="16384" width="8.6640625" style="21"/>
  </cols>
  <sheetData>
    <row r="1" spans="1:10" ht="28.35" customHeight="1" x14ac:dyDescent="0.25">
      <c r="A1" s="296" t="s">
        <v>543</v>
      </c>
      <c r="B1" s="90"/>
      <c r="C1" s="90"/>
      <c r="D1" s="90"/>
      <c r="E1" s="91"/>
      <c r="F1" s="91"/>
      <c r="G1" s="91"/>
      <c r="H1" s="90"/>
      <c r="I1" s="90"/>
      <c r="J1" s="90"/>
    </row>
    <row r="2" spans="1:10" ht="30.75" customHeight="1" x14ac:dyDescent="0.5">
      <c r="A2" s="463" t="s">
        <v>518</v>
      </c>
      <c r="B2" s="92"/>
      <c r="C2" s="92"/>
      <c r="D2" s="92"/>
      <c r="E2" s="93"/>
      <c r="F2" s="93"/>
      <c r="G2" s="93"/>
      <c r="H2" s="94"/>
      <c r="I2" s="94"/>
      <c r="J2" s="94"/>
    </row>
    <row r="3" spans="1:10" ht="15.95" customHeight="1" x14ac:dyDescent="0.5">
      <c r="A3" s="95"/>
      <c r="B3" s="95"/>
      <c r="C3" s="95"/>
      <c r="D3" s="95"/>
      <c r="E3" s="93"/>
      <c r="F3" s="93"/>
      <c r="G3" s="93"/>
      <c r="H3" s="94"/>
      <c r="I3" s="94"/>
      <c r="J3" s="94"/>
    </row>
    <row r="4" spans="1:10" ht="20.100000000000001" customHeight="1" x14ac:dyDescent="0.3">
      <c r="A4" s="422" t="s">
        <v>790</v>
      </c>
      <c r="B4" s="377"/>
      <c r="C4" s="377"/>
      <c r="D4" s="377"/>
      <c r="E4" s="377"/>
      <c r="F4" s="377"/>
      <c r="G4" s="377"/>
      <c r="H4" s="377"/>
      <c r="I4" s="377"/>
      <c r="J4" s="378"/>
    </row>
    <row r="5" spans="1:10" ht="35.25" customHeight="1" x14ac:dyDescent="0.3">
      <c r="A5" s="421" t="str">
        <f>IF(SelectSurvey=0,"To request CMS data files for your research project:",CONCATENATE("To request CMS data files for the ",VLOOKUP(SelectSurvey,DisplaySurveyName,2,FALSE),":"))</f>
        <v>To request CMS data files for your research project:</v>
      </c>
      <c r="B5" s="379"/>
      <c r="C5" s="379"/>
      <c r="D5" s="379"/>
      <c r="E5" s="380"/>
      <c r="F5" s="380"/>
      <c r="G5" s="380"/>
      <c r="H5" s="379"/>
      <c r="I5" s="379"/>
      <c r="J5" s="378"/>
    </row>
    <row r="6" spans="1:10" ht="20.25" customHeight="1" x14ac:dyDescent="0.3">
      <c r="A6" s="423">
        <v>1</v>
      </c>
      <c r="B6" s="393" t="s">
        <v>637</v>
      </c>
      <c r="C6" s="381"/>
      <c r="D6" s="382"/>
      <c r="E6" s="382"/>
      <c r="F6" s="382"/>
      <c r="G6" s="382"/>
      <c r="H6" s="382"/>
      <c r="I6" s="382"/>
      <c r="J6" s="382"/>
    </row>
    <row r="7" spans="1:10" s="22" customFormat="1" ht="20.25" customHeight="1" x14ac:dyDescent="0.3">
      <c r="A7" s="423">
        <v>2</v>
      </c>
      <c r="B7" s="393" t="s">
        <v>661</v>
      </c>
      <c r="C7" s="383"/>
      <c r="D7" s="383"/>
      <c r="E7" s="383"/>
      <c r="F7" s="383"/>
      <c r="G7" s="383"/>
      <c r="H7" s="383"/>
      <c r="I7" s="383"/>
      <c r="J7" s="383"/>
    </row>
    <row r="8" spans="1:10" s="22" customFormat="1" ht="20.25" customHeight="1" x14ac:dyDescent="0.3">
      <c r="A8" s="423">
        <v>3</v>
      </c>
      <c r="B8" s="393" t="s">
        <v>662</v>
      </c>
      <c r="C8" s="383"/>
      <c r="D8" s="383"/>
      <c r="E8" s="383"/>
      <c r="F8" s="383"/>
      <c r="G8" s="383"/>
      <c r="H8" s="383"/>
      <c r="I8" s="383"/>
      <c r="J8" s="383"/>
    </row>
    <row r="9" spans="1:10" s="22" customFormat="1" ht="20.25" customHeight="1" x14ac:dyDescent="0.3">
      <c r="A9" s="424"/>
      <c r="B9" s="393" t="s">
        <v>500</v>
      </c>
      <c r="C9" s="383"/>
      <c r="D9" s="383"/>
      <c r="E9" s="383"/>
      <c r="F9" s="383"/>
      <c r="G9" s="383"/>
      <c r="H9" s="383"/>
      <c r="I9" s="383"/>
      <c r="J9" s="383"/>
    </row>
    <row r="10" spans="1:10" s="22" customFormat="1" ht="20.25" customHeight="1" x14ac:dyDescent="0.3">
      <c r="A10" s="425">
        <v>4</v>
      </c>
      <c r="B10" s="393" t="s">
        <v>663</v>
      </c>
      <c r="C10" s="383"/>
      <c r="D10" s="383"/>
      <c r="E10" s="383"/>
      <c r="F10" s="383"/>
      <c r="G10" s="383"/>
      <c r="H10" s="383"/>
      <c r="I10" s="383"/>
      <c r="J10" s="383"/>
    </row>
    <row r="11" spans="1:10" s="22" customFormat="1" ht="20.25" customHeight="1" x14ac:dyDescent="0.3">
      <c r="A11" s="424"/>
      <c r="B11" s="393" t="s">
        <v>501</v>
      </c>
      <c r="C11" s="383"/>
      <c r="D11" s="383"/>
      <c r="E11" s="383"/>
      <c r="F11" s="383"/>
      <c r="G11" s="383"/>
      <c r="H11" s="383"/>
      <c r="I11" s="383"/>
      <c r="J11" s="383"/>
    </row>
    <row r="12" spans="1:10" s="22" customFormat="1" ht="20.25" customHeight="1" x14ac:dyDescent="0.3">
      <c r="A12" s="425">
        <v>5</v>
      </c>
      <c r="B12" s="393" t="s">
        <v>664</v>
      </c>
      <c r="C12" s="383"/>
      <c r="D12" s="383"/>
      <c r="E12" s="383"/>
      <c r="F12" s="383"/>
      <c r="G12" s="383"/>
      <c r="H12" s="383"/>
      <c r="I12" s="383"/>
      <c r="J12" s="383"/>
    </row>
    <row r="13" spans="1:10" s="22" customFormat="1" ht="20.25" customHeight="1" x14ac:dyDescent="0.3">
      <c r="A13" s="424"/>
      <c r="B13" s="393" t="s">
        <v>502</v>
      </c>
      <c r="C13" s="383"/>
      <c r="D13" s="383"/>
      <c r="E13" s="383"/>
      <c r="F13" s="383"/>
      <c r="G13" s="383"/>
      <c r="H13" s="383"/>
      <c r="I13" s="383"/>
      <c r="J13" s="383"/>
    </row>
    <row r="14" spans="1:10" s="22" customFormat="1" ht="20.25" customHeight="1" x14ac:dyDescent="0.3">
      <c r="A14" s="424">
        <v>6</v>
      </c>
      <c r="B14" s="393" t="s">
        <v>402</v>
      </c>
      <c r="C14" s="384"/>
      <c r="D14" s="384"/>
      <c r="E14" s="384"/>
      <c r="F14" s="384"/>
      <c r="G14" s="383"/>
      <c r="H14" s="383"/>
      <c r="I14" s="383"/>
      <c r="J14" s="383"/>
    </row>
    <row r="15" spans="1:10" s="22" customFormat="1" ht="20.25" customHeight="1" x14ac:dyDescent="0.3">
      <c r="A15" s="424"/>
      <c r="B15" s="393" t="s">
        <v>704</v>
      </c>
      <c r="C15" s="384"/>
      <c r="D15" s="384"/>
      <c r="E15" s="384"/>
      <c r="F15" s="384"/>
      <c r="G15" s="383"/>
      <c r="H15" s="383"/>
      <c r="I15" s="383"/>
      <c r="J15" s="383"/>
    </row>
    <row r="16" spans="1:10" s="22" customFormat="1" ht="20.100000000000001" customHeight="1" x14ac:dyDescent="0.3">
      <c r="A16" s="425">
        <v>7</v>
      </c>
      <c r="B16" s="393" t="s">
        <v>272</v>
      </c>
      <c r="C16" s="385"/>
      <c r="D16" s="385"/>
      <c r="E16" s="385"/>
      <c r="F16" s="386"/>
      <c r="G16" s="383"/>
      <c r="H16" s="383"/>
      <c r="I16" s="383"/>
      <c r="J16" s="383"/>
    </row>
    <row r="17" spans="1:10" s="34" customFormat="1" ht="30" customHeight="1" x14ac:dyDescent="0.3">
      <c r="A17" s="387"/>
      <c r="B17" s="426" t="s">
        <v>714</v>
      </c>
      <c r="C17" s="388"/>
      <c r="D17" s="388"/>
      <c r="E17" s="388"/>
      <c r="F17" s="388"/>
      <c r="G17" s="388"/>
      <c r="H17" s="388"/>
      <c r="I17" s="389"/>
      <c r="J17" s="389"/>
    </row>
    <row r="18" spans="1:10" ht="31.5" customHeight="1" x14ac:dyDescent="0.3">
      <c r="A18" s="96"/>
      <c r="B18" s="96"/>
      <c r="C18" s="97"/>
      <c r="D18" s="97"/>
      <c r="E18" s="98"/>
      <c r="F18" s="98"/>
      <c r="G18" s="98"/>
      <c r="H18" s="97"/>
      <c r="I18" s="97"/>
      <c r="J18" s="96"/>
    </row>
    <row r="19" spans="1:10" ht="22.5" customHeight="1" x14ac:dyDescent="0.3">
      <c r="A19" s="96"/>
      <c r="B19" s="99" t="s">
        <v>290</v>
      </c>
      <c r="C19" s="100"/>
      <c r="D19" s="100"/>
      <c r="E19" s="100"/>
      <c r="F19" s="100"/>
      <c r="G19" s="100"/>
      <c r="H19" s="100"/>
      <c r="I19" s="101"/>
      <c r="J19" s="102"/>
    </row>
    <row r="20" spans="1:10" ht="49.9" customHeight="1" thickBot="1" x14ac:dyDescent="0.35">
      <c r="A20" s="96"/>
      <c r="B20" s="338" t="s">
        <v>647</v>
      </c>
      <c r="C20" s="339"/>
      <c r="D20" s="339"/>
      <c r="E20" s="339"/>
      <c r="F20" s="339"/>
      <c r="G20" s="339"/>
      <c r="H20" s="103"/>
      <c r="I20" s="104"/>
      <c r="J20" s="102"/>
    </row>
    <row r="21" spans="1:10" ht="80.25" customHeight="1" thickBot="1" x14ac:dyDescent="0.35">
      <c r="A21" s="96"/>
      <c r="B21" s="105" t="s">
        <v>82</v>
      </c>
      <c r="C21" s="106" t="s">
        <v>154</v>
      </c>
      <c r="D21" s="107" t="s">
        <v>22</v>
      </c>
      <c r="E21" s="108" t="s">
        <v>305</v>
      </c>
      <c r="F21" s="109" t="s">
        <v>306</v>
      </c>
      <c r="G21" s="109" t="s">
        <v>307</v>
      </c>
      <c r="H21" s="109" t="s">
        <v>308</v>
      </c>
      <c r="I21" s="110" t="s">
        <v>748</v>
      </c>
      <c r="J21" s="111"/>
    </row>
    <row r="22" spans="1:10" ht="100.35" customHeight="1" thickBot="1" x14ac:dyDescent="0.35">
      <c r="A22" s="96"/>
      <c r="B22" s="112"/>
      <c r="C22" s="113"/>
      <c r="D22" s="114"/>
      <c r="E22" s="284" t="s">
        <v>287</v>
      </c>
      <c r="F22" s="284" t="s">
        <v>403</v>
      </c>
      <c r="G22" s="284" t="s">
        <v>404</v>
      </c>
      <c r="H22" s="284" t="s">
        <v>296</v>
      </c>
      <c r="I22" s="285"/>
      <c r="J22" s="111"/>
    </row>
    <row r="23" spans="1:10" ht="128.25" customHeight="1" x14ac:dyDescent="0.3">
      <c r="A23" s="96"/>
      <c r="B23" s="115" t="s">
        <v>83</v>
      </c>
      <c r="C23" s="116" t="s">
        <v>250</v>
      </c>
      <c r="D23" s="117" t="str">
        <f>IF(DN_Min_Year="N/A","N/A",IF(DN_Max_Year=0,DN_Min_Year,CONCATENATE(DN_Min_Year," - ",DN_Max_Year)))</f>
        <v>In the Research Project Info tab, select a NIA Study Institute partner to access data year availability information.</v>
      </c>
      <c r="E23" s="118" t="str">
        <f>IF(OR(E$22="Select X to Request All Files in Category",F$22="Enter Start Year",G$22="Enter End Year",F$22&lt;Medicare_Enrollment_Data_Min_Year, F$22&gt;Medicare_Enrollment_Data_Max_Year,G$22&lt;Medicare_Enrollment_Data_Min_Year,G$22&gt;Medicare_Enrollment_Data_Max_Year,F$22&gt;G$22, D$23="N/A"),"",IF(F22&gt;DN_Max_Year,"",E$22))</f>
        <v/>
      </c>
      <c r="F23" s="119" t="str">
        <f>IF(OR(E$22="Select X to Request All Files in Category", F$22="Enter Start Year", G$22="Enter End Year", F$22&lt;Medicare_Enrollment_Data_Min_Year, F$22&gt;Medicare_Enrollment_Data_Max_Year, G$22&lt;Medicare_Enrollment_Data_Min_Year, G$22&gt;Medicare_Enrollment_Data_Max_Year, D23="N/A"),"", IF(AND(F$22&gt;G$22, E$22="x"), "Invalid year(s) entered. Check the Start Year and End Year values.", IF(F$22&gt;DN_Max_Year, "", F$22)))</f>
        <v/>
      </c>
      <c r="G23" s="119" t="str">
        <f>IF(OR(E$22="Select X to Request All Files in Category", F$22="Enter Start Year", G$22="Enter End Year", F$22&lt;Medicare_Enrollment_Data_Min_Year, F$22&gt;Medicare_Enrollment_Data_Max_Year, G$22&lt;Medicare_Enrollment_Data_Min_Year, G$22&gt;Medicare_Enrollment_Data_Max_Year,D23="N/A"),"", IF(AND(F$22&gt;G$22, E$22="x"),"Invalid year(s) entered. Check the Start Year and End Year values.", IF(F$22&gt;DN_Max_Year,"", IF(G$22&gt;=DN_Max_Year, DN_Max_Year, G$22))))</f>
        <v/>
      </c>
      <c r="H23" s="119" t="str">
        <f>IF(E23="x",IF(H$22="Select an Encryption Level","",H$22),"")</f>
        <v/>
      </c>
      <c r="I23" s="120" t="str">
        <f>IF(E23="x",IF(I$22=0,"",I$22),"")</f>
        <v/>
      </c>
      <c r="J23" s="111"/>
    </row>
    <row r="24" spans="1:10" ht="128.25" customHeight="1" x14ac:dyDescent="0.3">
      <c r="A24" s="96"/>
      <c r="B24" s="115" t="s">
        <v>283</v>
      </c>
      <c r="C24" s="115" t="s">
        <v>251</v>
      </c>
      <c r="D24" s="117" t="str">
        <f>IF(MBSF_Base_Min_Year="N/A","N/A",IF(MBSF_Base_Max_Year=0,MBSF_Base_Min_Year, CONCATENATE(MBSF_Base_Min_Year," - ",MBSF_Base_Max_Year)))</f>
        <v>In the Research Project Info tab, select a NIA Study Institute partner to access data year availability information.</v>
      </c>
      <c r="E24" s="121" t="str">
        <f>IF(OR(E$22="Select X to Request All Files in Category",F$22="Enter Start Year",G$22="Enter End Year",F$22&lt;Medicare_Enrollment_Data_Min_Year,F$22&gt;Medicare_Enrollment_Data_Max_Year,G$22&lt;Medicare_Enrollment_Data_Min_Year,G$22&gt;Medicare_Enrollment_Data_Max_Year,F$22&gt;G$22,D24="N/A"),"",IF(G$22&lt;MBSF_Base_Min_Year,"",E$22))</f>
        <v/>
      </c>
      <c r="F24" s="122" t="str">
        <f>IF(OR(E$22="Select X to Request All Files in Category", F$22="Enter Start Year", G$22="Enter End Year", F$22&lt;Medicare_Enrollment_Data_Min_Year, F$22&gt;Medicare_Enrollment_Data_Max_Year, G$22&lt;Medicare_Enrollment_Data_Min_Year, G$22&gt;Medicare_Enrollment_Data_Max_Year, D24="N/A"), "", IF(AND(F$22&gt;G$22, E$22="x"),"Invalid year(s) entered. Check the Start Year and End Year values.", IF(G$22&lt;MBSF_Base_Min_Year, "", IF(F$22&lt;MBSF_Base_Min_Year, MBSF_Base_Min_Year, F$22))))</f>
        <v/>
      </c>
      <c r="G24" s="122" t="str">
        <f>IF(OR(E$22="Select X to Request All Files in Category",F$22="Enter Start Year", G$22="Enter End Year", F$22&lt;Medicare_Enrollment_Data_Min_Year, F$22&gt;Medicare_Enrollment_Data_Max_Year, G$22&lt;Medicare_Enrollment_Data_Min_Year, G$22&gt;Medicare_Enrollment_Data_Max_Year, D24="N/A"), "", IF(AND(F$22&gt;G$22, E$22="x"), "Invalid year(s) entered. Check the Start Year and End Year values.", IF(G$22&lt;MBSF_Base_Min_Year, "", G$22)))</f>
        <v/>
      </c>
      <c r="H24" s="122" t="str">
        <f>IF(E24="x",IF(H$22="Select an Encryption Level","",H$22),"")</f>
        <v/>
      </c>
      <c r="I24" s="123" t="str">
        <f>IF(E24="x",IF(I$22=0,"",I$22),"")</f>
        <v/>
      </c>
      <c r="J24" s="111"/>
    </row>
    <row r="25" spans="1:10" ht="55.35" customHeight="1" x14ac:dyDescent="0.3">
      <c r="A25" s="96"/>
      <c r="B25" s="124" t="s">
        <v>231</v>
      </c>
      <c r="C25" s="125"/>
      <c r="D25" s="97"/>
      <c r="E25" s="98"/>
      <c r="F25" s="98"/>
      <c r="G25" s="98"/>
      <c r="H25" s="97"/>
      <c r="I25" s="97"/>
      <c r="J25" s="96"/>
    </row>
    <row r="26" spans="1:10" ht="22.5" customHeight="1" x14ac:dyDescent="0.3">
      <c r="A26" s="96"/>
      <c r="B26" s="99" t="s">
        <v>291</v>
      </c>
      <c r="C26" s="100"/>
      <c r="D26" s="100"/>
      <c r="E26" s="100"/>
      <c r="F26" s="100"/>
      <c r="G26" s="100"/>
      <c r="H26" s="100"/>
      <c r="I26" s="101"/>
      <c r="J26" s="96"/>
    </row>
    <row r="27" spans="1:10" ht="37.9" customHeight="1" thickBot="1" x14ac:dyDescent="0.35">
      <c r="A27" s="96"/>
      <c r="B27" s="338" t="s">
        <v>653</v>
      </c>
      <c r="C27" s="340"/>
      <c r="D27" s="340"/>
      <c r="E27" s="340"/>
      <c r="F27" s="340"/>
      <c r="G27" s="340"/>
      <c r="H27" s="126"/>
      <c r="I27" s="127"/>
      <c r="J27" s="96"/>
    </row>
    <row r="28" spans="1:10" ht="80.099999999999994" customHeight="1" thickBot="1" x14ac:dyDescent="0.35">
      <c r="A28" s="96"/>
      <c r="B28" s="105" t="s">
        <v>82</v>
      </c>
      <c r="C28" s="106" t="s">
        <v>154</v>
      </c>
      <c r="D28" s="107" t="s">
        <v>22</v>
      </c>
      <c r="E28" s="108" t="s">
        <v>305</v>
      </c>
      <c r="F28" s="109" t="s">
        <v>306</v>
      </c>
      <c r="G28" s="109" t="s">
        <v>307</v>
      </c>
      <c r="H28" s="109" t="s">
        <v>308</v>
      </c>
      <c r="I28" s="110" t="s">
        <v>749</v>
      </c>
      <c r="J28" s="96"/>
    </row>
    <row r="29" spans="1:10" ht="99.95" customHeight="1" thickBot="1" x14ac:dyDescent="0.35">
      <c r="A29" s="96"/>
      <c r="B29" s="112"/>
      <c r="C29" s="113"/>
      <c r="D29" s="114"/>
      <c r="E29" s="284" t="s">
        <v>287</v>
      </c>
      <c r="F29" s="284" t="s">
        <v>403</v>
      </c>
      <c r="G29" s="284" t="s">
        <v>404</v>
      </c>
      <c r="H29" s="284" t="s">
        <v>296</v>
      </c>
      <c r="I29" s="285"/>
      <c r="J29" s="96"/>
    </row>
    <row r="30" spans="1:10" ht="128.1" customHeight="1" x14ac:dyDescent="0.3">
      <c r="A30" s="96"/>
      <c r="B30" s="115" t="s">
        <v>284</v>
      </c>
      <c r="C30" s="115" t="s">
        <v>574</v>
      </c>
      <c r="D30" s="117" t="str">
        <f>IF(MBSF_CC_Min_Year="N/A","N/A",IF(MBSF_CC_Max_Year=0,MBSF_CC_Min_Year, CONCATENATE(MBSF_CC_Min_Year," - ",MBSF_CC_Max_Year)))</f>
        <v>In the Research Project Info tab, select a NIA Study Institute partner to access data year availability information.</v>
      </c>
      <c r="E30" s="121" t="str">
        <f>IF(OR(E$29="Select X to Request All Files in Category",F$29="Select Start Year", G$29="Select End Year",F$29&gt;G$29, F$29&lt;MBSF_CC_Min_Year, F$29&gt;MBSF_CC_Max_Year,G$29&lt;MBSF_CC_Min_Year, G$29&gt;MBSF_CC_Max_Year, D30="N/A"),"",E$29)</f>
        <v/>
      </c>
      <c r="F30" s="122" t="str">
        <f>IF(OR(E$29="Select X to Request All Files in Category",F$29="Select Start Year",G$29="Select End Year",F$29&lt;MBSF_CC_Min_Year,G$29&gt;MBSF_CC_Max_Year, D30="N/A"),"",IF(F$29&gt;G$29,"Invalid year selections. Check the Start Year and End Year values",F$29))</f>
        <v/>
      </c>
      <c r="G30" s="122" t="str">
        <f>IF(OR(E$29="Select X to Request All Files in Category",F$29="Select Start Year",G$29="Select End Year",G$29&lt;MBSF_CC_Min_Year,G$29&gt;MBSF_CC_Max_Year,D30="N/A"),"",IF(F$29&gt;G$29,"Invalid year selections. Check the Start Year and End Year values",G$29))</f>
        <v/>
      </c>
      <c r="H30" s="122" t="str">
        <f>IF(E30="x",IF(H$29="Select an Encryption Level","",H$29),"")</f>
        <v/>
      </c>
      <c r="I30" s="123" t="str">
        <f>IF(E30="x",IF(I$29=0,"",I$29),"")</f>
        <v/>
      </c>
      <c r="J30" s="96"/>
    </row>
    <row r="31" spans="1:10" ht="128.1" customHeight="1" x14ac:dyDescent="0.3">
      <c r="A31" s="96"/>
      <c r="B31" s="115" t="s">
        <v>285</v>
      </c>
      <c r="C31" s="115" t="s">
        <v>575</v>
      </c>
      <c r="D31" s="117" t="str">
        <f>IF(MBSF_CU_Min_Year="N/A","N/A",IF(MBSF_CU_Max_Year=0,MBSF_CU_Min_Year, CONCATENATE(MBSF_CU_Min_Year," - ",MBSF_CU_Max_Year)))</f>
        <v>In the Research Project Info tab, select a NIA Study Institute partner to access data year availability information.</v>
      </c>
      <c r="E31" s="121" t="str">
        <f>IF(OR(E$29="Select X to Request All Files in Category",F$29="Select Start Year", G$29="Select End Year",F$29&gt;G$29, F$29&lt;MBSF_CU_Min_Year, F$29&gt;MBSF_CU_Max_Year,G$29&lt;MBSF_CU_Min_Year, G$29&gt;MBSF_CU_Max_Year, D31="N/A"),"",E$29)</f>
        <v/>
      </c>
      <c r="F31" s="122" t="str">
        <f>IF(OR(E$29="Select X to Request All Files in Category",F$29="Select Start Year",G$29="Select End Year",F$29&lt;MBSF_CU_Min_Year,G$29&gt;MBSF_CU_Max_Year,D31="N/A"),"",IF(F$29&gt;G$29,"Invalid year selections. Check the Start Year and End Year values",F$29))</f>
        <v/>
      </c>
      <c r="G31" s="122" t="str">
        <f>IF(OR(E$29="Select X to Request All Files in Category",F$29="Select Start Year",G$29="Select End Year",G$29&lt;MBSF_CU_Min_Year,G$29&gt;MBSF_CU_Max_Year,D31="N/A"),"",IF(F$29&gt;G$29,"Invalid year selections. Check the Start Year and End Year values",G$29))</f>
        <v/>
      </c>
      <c r="H31" s="122" t="str">
        <f t="shared" ref="H31:H32" si="0">IF(E31="x",IF(H$29="Select an Encryption Level","",H$29),"")</f>
        <v/>
      </c>
      <c r="I31" s="123" t="str">
        <f t="shared" ref="I31:I32" si="1">IF(E31="x",IF(I$29=0,"",I$29),"")</f>
        <v/>
      </c>
      <c r="J31" s="96"/>
    </row>
    <row r="32" spans="1:10" ht="128.1" customHeight="1" x14ac:dyDescent="0.3">
      <c r="A32" s="96"/>
      <c r="B32" s="115" t="s">
        <v>286</v>
      </c>
      <c r="C32" s="115" t="s">
        <v>576</v>
      </c>
      <c r="D32" s="117" t="str">
        <f>IF(MBSF_Other_Min_Year="N/A","N/A",IF(MBSF_Other_Max_Year=0,MBSF_Other_Min_Year, CONCATENATE(MBSF_Other_Min_Year," - ",MBSF_Other_Max_Year)))</f>
        <v>In the Research Project Info tab, select a NIA Study Institute partner to access data year availability information.</v>
      </c>
      <c r="E32" s="121" t="str">
        <f>IF(OR(E$29="Select X to Request All Files in Category",F$29="Enter Start Year",G$29="Enter End Year",F$29&lt;Additional_Medicare_Summary_Files_Min_Year,F$29&gt;Additional_Medicare_Summary_Files_Max_Year,G$29&lt;Additional_Medicare_Summary_Files_Min_Year,G$29&gt;Additional_Medicare_Summary_Files_Max_Year,F$29&gt;G$29,D32="N/A"),"",IF(G$29&lt;MBSF_Other_Min_Year,"",E$29))</f>
        <v/>
      </c>
      <c r="F32" s="122" t="str">
        <f>IF(OR(E$29="Select X to Request All Files in Category", F$29="Enter Start Year", G$29="Enter End Year", F$29&lt;Additional_Medicare_Summary_Files_Min_Year, F$29&gt;Additional_Medicare_Summary_Files_Max_Year, G$29&lt;Additional_Medicare_Summary_Files_Min_Year, G$29&gt;Additional_Medicare_Summary_Files_Max_Year, D32="N/A"), "", IF(AND(F$29&gt;G$29, E$29="x"),"Invalid year(s) entered. Check the Start Year and End Year values.", IF(G$29&lt;Additional_Medicare_Summary_Files_Min_Year, "", IF(F$29&lt;MBSF_Other_Min_Year, MBSF_Other_Min_Year, F$29))))</f>
        <v/>
      </c>
      <c r="G32" s="122" t="str">
        <f>IF(OR(E$29="Select X to Request All Files in Category",F$29="Enter Start Year", G$29="Enter End Year", F$29&lt;Additional_Medicare_Summary_Files_Min_Year, F$29&gt;Additional_Medicare_Summary_Files_Max_Year, G$29&lt;Additional_Medicare_Summary_Files_Min_Year, G$29&gt;Additional_Medicare_Summary_Files_Max_Year, D32="N/A"), "", IF(AND(F$29&gt;G$29, E$29="x"), "Invalid year(s) entered. Check the Start Year and End Year values.", IF(G$29&lt;MBSF_Other_Min_Year, "", G$29)))</f>
        <v/>
      </c>
      <c r="H32" s="122" t="str">
        <f t="shared" si="0"/>
        <v/>
      </c>
      <c r="I32" s="123" t="str">
        <f t="shared" si="1"/>
        <v/>
      </c>
      <c r="J32" s="96"/>
    </row>
    <row r="33" spans="1:10" ht="55.35" customHeight="1" x14ac:dyDescent="0.3">
      <c r="A33" s="96"/>
      <c r="B33" s="124" t="s">
        <v>231</v>
      </c>
      <c r="C33" s="125"/>
      <c r="D33" s="97"/>
      <c r="E33" s="98"/>
      <c r="F33" s="98"/>
      <c r="G33" s="98"/>
      <c r="H33" s="97"/>
      <c r="I33" s="97"/>
      <c r="J33" s="96"/>
    </row>
    <row r="34" spans="1:10" ht="22.5" customHeight="1" x14ac:dyDescent="0.3">
      <c r="A34" s="96"/>
      <c r="B34" s="170" t="str">
        <f>IF(SelectSurvey=1, "Note: While Medicaid data may be requested under this DUA, release of Medicaid data is delayed due to pending HRS updates. The LINKAGE team will notify your team as soon as the Medicaid data is available.", "Medicaid Claims Data")</f>
        <v>Medicaid Claims Data</v>
      </c>
      <c r="C34" s="128"/>
      <c r="D34" s="128"/>
      <c r="E34" s="128"/>
      <c r="F34" s="128"/>
      <c r="G34" s="128"/>
      <c r="H34" s="128"/>
      <c r="I34" s="129"/>
      <c r="J34" s="96"/>
    </row>
    <row r="35" spans="1:10" ht="50.1" customHeight="1" thickBot="1" x14ac:dyDescent="0.35">
      <c r="A35" s="96"/>
      <c r="B35" s="338" t="s">
        <v>823</v>
      </c>
      <c r="C35" s="340"/>
      <c r="D35" s="340"/>
      <c r="E35" s="340"/>
      <c r="F35" s="340"/>
      <c r="G35" s="340"/>
      <c r="H35" s="130"/>
      <c r="I35" s="131"/>
      <c r="J35" s="96"/>
    </row>
    <row r="36" spans="1:10" ht="80.25" customHeight="1" thickBot="1" x14ac:dyDescent="0.35">
      <c r="A36" s="96"/>
      <c r="B36" s="105" t="s">
        <v>82</v>
      </c>
      <c r="C36" s="106" t="s">
        <v>154</v>
      </c>
      <c r="D36" s="107" t="s">
        <v>22</v>
      </c>
      <c r="E36" s="108" t="s">
        <v>309</v>
      </c>
      <c r="F36" s="109" t="s">
        <v>306</v>
      </c>
      <c r="G36" s="109" t="s">
        <v>307</v>
      </c>
      <c r="H36" s="109" t="s">
        <v>308</v>
      </c>
      <c r="I36" s="110" t="s">
        <v>750</v>
      </c>
      <c r="J36" s="132"/>
    </row>
    <row r="37" spans="1:10" ht="100.35" customHeight="1" thickBot="1" x14ac:dyDescent="0.35">
      <c r="A37" s="96"/>
      <c r="B37" s="112"/>
      <c r="C37" s="113"/>
      <c r="D37" s="114"/>
      <c r="E37" s="284" t="s">
        <v>287</v>
      </c>
      <c r="F37" s="284" t="s">
        <v>403</v>
      </c>
      <c r="G37" s="284" t="s">
        <v>404</v>
      </c>
      <c r="H37" s="284" t="s">
        <v>296</v>
      </c>
      <c r="I37" s="285"/>
      <c r="J37" s="132"/>
    </row>
    <row r="38" spans="1:10" ht="128.25" customHeight="1" x14ac:dyDescent="0.3">
      <c r="A38" s="96"/>
      <c r="B38" s="115" t="s">
        <v>246</v>
      </c>
      <c r="C38" s="115" t="s">
        <v>247</v>
      </c>
      <c r="D38" s="117" t="str">
        <f>IF(MAX_PS_Min_Year="N/A","N/A",IF(MAX_PS_Max_Year=0,MAX_PS_Min_Year, CONCATENATE(MAX_PS_Min_Year," - ",MAX_PS_Max_Year)))</f>
        <v>In the Research Project Info tab, select a NIA Study Institute partner to access data year availability information.</v>
      </c>
      <c r="E38" s="121" t="str">
        <f>IF(OR(E$37="Select X to Request All Files in Category",F$37="Enter Start Year",G$37="Enter End Year",F$37&lt;Medicaid_Enrollment_Data_Min_Year, F$37&gt;Medicaid_Enrollment_Data_Max_Year,G$37&lt;Medicaid_Enrollment_Data_Min_Year,G$37&gt;Medicaid_Enrollment_Data_Max_Year,F$37&gt;G$37, D$38="N/A"),"",IF(F$37&gt;MAX_PS_Max_Year,"",E$37))</f>
        <v/>
      </c>
      <c r="F38" s="122" t="str">
        <f>IF(OR(E$37="Select X to Request All Files in Category", $F37="Enter Start Year", G$37="Enter End Year", F$37&lt;Medicaid_Enrollment_Data_Min_Year, F$37&gt;Medicaid_Enrollment_Data_Max_Year, G$37&lt;Medicaid_Enrollment_Data_Min_Year, G$37&gt;Medicaid_Enrollment_Data_Max_Year, D38="N/A"),"", IF(AND(F$37&gt;G$37, E$37="x"),"Invalid year(s) entered. Check the Start Year and End Year values.", IF(F$37&gt;MAX_PS_Max_Year, "", F$37)))</f>
        <v/>
      </c>
      <c r="G38" s="122" t="str">
        <f>IF(OR(E$37="Select X to Request All Files in Category",F$37="Enter Start Year", G$37="Enter End Year",F$37&lt;Medicaid_Enrollment_Data_Min_Year,F$37&gt;Medicaid_Enrollment_Data_Max_Year,G$37&lt;Medicaid_Enrollment_Data_Min_Year,G$37&gt;Medicaid_Enrollment_Data_Max_Year,D38="N/A"),"",IF(AND(F$37&gt;G$37,E$37="x"),"Invalid year(s) entered. Check the Start Year and End Year values.", IF(F$37&gt;MAX_PS_Max_Year, "",IF(G$37&gt;=MAX_PS_Max_Year, MAX_PS_Max_Year,G$37))))</f>
        <v/>
      </c>
      <c r="H38" s="122" t="str">
        <f>IF(E38="x",IF(H$37="Select an Encryption Level","",H$37),"")</f>
        <v/>
      </c>
      <c r="I38" s="123" t="str">
        <f>IF(E38="x",IF(E38="x",IF(I$37=0,"",I$37),""),"")</f>
        <v/>
      </c>
      <c r="J38" s="132"/>
    </row>
    <row r="39" spans="1:10" ht="128.25" customHeight="1" x14ac:dyDescent="0.3">
      <c r="A39" s="96"/>
      <c r="B39" s="115" t="s">
        <v>267</v>
      </c>
      <c r="C39" s="115" t="s">
        <v>577</v>
      </c>
      <c r="D39" s="117" t="str">
        <f>IF(TMSIS_DE_Min_Year="N/A","N/A",IF(TMSIS_DE_Max_Year=0, TMSIS_DE_Min_Year, CONCATENATE(TMSIS_DE_Min_Year," - ",TMSIS_DE_Max_Year)))</f>
        <v>In the Research Project Info tab, select a NIA Study Institute partner to access data year availability information.</v>
      </c>
      <c r="E39" s="121" t="str">
        <f>IF(OR(E$37="Select X to Request All Files in Category",F$37="Enter Start Year",G$37="Enter End Year",F$37&lt;Medicaid_Enrollment_Data_Min_Year,F$37&gt;Medicaid_Enrollment_Data_Max_Year,G$37&lt;Medicaid_Enrollment_Data_Min_Year,G$37&gt;Medicaid_Enrollment_Data_Max_Year,F$37&gt;G$37,D39="N/A"),"",IF(G$37&lt;TMSIS_DE_Min_Year,"",E$37))</f>
        <v/>
      </c>
      <c r="F39" s="122" t="str">
        <f>IF(OR(E$37="Select X to Request All Files in Category", F$37="Enter Start Year", G$37="Enter End Year", F$37&lt;Medicaid_Enrollment_Data_Min_Year, F$37&gt;Medicaid_Enrollment_Data_Max_Year, G$37&lt;Medicaid_Enrollment_Data_Min_Year, G$37&gt;Medicaid_Enrollment_Data_Max_Year, D39="N/A"),"", IF(AND(F$37&gt;G$37, E$37="x"),"Invalid year(s) entered. Check the Start Year and End Year values.", IF(G$37&lt;TMSIS_DE_Min_Year, "", IF(F$37&lt;TMSIS_DE_Min_Year, TMSIS_DE_Min_Year, F$37))))</f>
        <v/>
      </c>
      <c r="G39" s="122" t="str">
        <f>IF(OR(E$37="Select X to Request All Files in Category", F$37="Enter Start Year", G$37="Enter End Year", F$37&lt;Medicaid_Enrollment_Data_Min_Year, F$37&gt;Medicaid_Enrollment_Data_Max_Year, G$37&lt;Medicaid_Enrollment_Data_Min_Year, G$37&gt;Medicaid_Enrollment_Data_Max_Year, D39="N/A"), "", IF(AND(F$37&gt;G$37, E$37="x"),"Invalid year(s) entered. Check the Start Year and End Year values.", IF(G$37&lt;TMSIS_DE_Min_Year, "", G$37)))</f>
        <v/>
      </c>
      <c r="H39" s="122" t="str">
        <f>IF(E39="x",IF(H$37="Select an Encryption Level","",H$37),"")</f>
        <v/>
      </c>
      <c r="I39" s="123" t="str">
        <f>IF(E39="x",IF(E39="x",IF(I$37=0,"",I$37),""),"")</f>
        <v/>
      </c>
      <c r="J39" s="132"/>
    </row>
    <row r="40" spans="1:10" ht="55.35" customHeight="1" x14ac:dyDescent="0.3">
      <c r="A40" s="96"/>
      <c r="B40" s="124" t="s">
        <v>231</v>
      </c>
      <c r="C40" s="125"/>
      <c r="D40" s="97"/>
      <c r="E40" s="98"/>
      <c r="F40" s="98"/>
      <c r="G40" s="98"/>
      <c r="H40" s="97"/>
      <c r="I40" s="97"/>
      <c r="J40" s="96"/>
    </row>
    <row r="41" spans="1:10" ht="22.5" customHeight="1" x14ac:dyDescent="0.3">
      <c r="A41" s="96"/>
      <c r="B41" s="99" t="s">
        <v>293</v>
      </c>
      <c r="C41" s="128"/>
      <c r="D41" s="128"/>
      <c r="E41" s="128"/>
      <c r="F41" s="128"/>
      <c r="G41" s="128"/>
      <c r="H41" s="128"/>
      <c r="I41" s="129"/>
      <c r="J41" s="96"/>
    </row>
    <row r="42" spans="1:10" s="24" customFormat="1" ht="40.9" customHeight="1" thickBot="1" x14ac:dyDescent="0.35">
      <c r="A42" s="133"/>
      <c r="B42" s="338" t="s">
        <v>654</v>
      </c>
      <c r="C42" s="340"/>
      <c r="D42" s="340"/>
      <c r="E42" s="340"/>
      <c r="F42" s="340"/>
      <c r="G42" s="340"/>
      <c r="H42" s="134"/>
      <c r="I42" s="135"/>
      <c r="J42" s="133"/>
    </row>
    <row r="43" spans="1:10" ht="80.25" customHeight="1" thickBot="1" x14ac:dyDescent="0.35">
      <c r="A43" s="96"/>
      <c r="B43" s="105" t="s">
        <v>82</v>
      </c>
      <c r="C43" s="106" t="s">
        <v>154</v>
      </c>
      <c r="D43" s="107" t="s">
        <v>22</v>
      </c>
      <c r="E43" s="108" t="s">
        <v>310</v>
      </c>
      <c r="F43" s="109" t="s">
        <v>306</v>
      </c>
      <c r="G43" s="109" t="s">
        <v>307</v>
      </c>
      <c r="H43" s="109" t="s">
        <v>308</v>
      </c>
      <c r="I43" s="110" t="s">
        <v>751</v>
      </c>
      <c r="J43" s="111"/>
    </row>
    <row r="44" spans="1:10" ht="100.35" customHeight="1" thickBot="1" x14ac:dyDescent="0.35">
      <c r="A44" s="96"/>
      <c r="B44" s="112"/>
      <c r="C44" s="113"/>
      <c r="D44" s="114"/>
      <c r="E44" s="284" t="s">
        <v>287</v>
      </c>
      <c r="F44" s="284" t="s">
        <v>403</v>
      </c>
      <c r="G44" s="284" t="s">
        <v>404</v>
      </c>
      <c r="H44" s="284" t="s">
        <v>296</v>
      </c>
      <c r="I44" s="285"/>
      <c r="J44" s="111"/>
    </row>
    <row r="45" spans="1:10" ht="120" customHeight="1" x14ac:dyDescent="0.3">
      <c r="A45" s="96"/>
      <c r="B45" s="115" t="s">
        <v>432</v>
      </c>
      <c r="C45" s="115" t="s">
        <v>282</v>
      </c>
      <c r="D45" s="117" t="str">
        <f>IF(AB_PB_Min_Year="N/A","N/A",IF(AB_PB_Max_Year=0,AB_PB_Min_Year, CONCATENATE(AB_PB_Min_Year," - ",AB_PB_Max_Year)))</f>
        <v>In the Research Project Info tab, select a NIA Study Institute partner to access data year availability information.</v>
      </c>
      <c r="E45" s="121" t="str">
        <f>IF(OR(E$44="Select X to Request All Files in Category",F$44="Select Start Year", G$44="Select End Year",F$44&gt;G$44, F$44&lt;AB_PB_Min_Year, F$44&gt;AB_PB_Max_Year, G$44&lt;AB_PB_Min_Year, G$44&gt;AB_PB_Max_Year, D45="N/A"),"",E$44)</f>
        <v/>
      </c>
      <c r="F45" s="122" t="str">
        <f>IF(OR(E$44="Select X to Request All Files in Category",F$44="Select Start Year",G$44="Select End Year",F$44&lt;AB_PB_Min_Year,F$44&gt;AB_PB_Max_Year,G$44&lt;AB_PB_Min_Year,G$44&gt;AB_PB_Max_Year,D45="N/A"),"",IF(F$44&gt;G$44,"Invalid year selections. Check the Start Year and End Year values",F$44))</f>
        <v/>
      </c>
      <c r="G45" s="122" t="str">
        <f>IF(OR(E$44="Select X to Request All Files in Category",F$44="Select Start Year",G$44="Select End Year",F$44&lt;AB_PB_Min_Year, F$44&gt;AB_PB_Max_Year, G$44&lt;AB_PB_Min_Year,G$44&gt;AB_PB_Max_Year, D45="N/A"),"",IF(F$44&gt;G$44,"Invalid year selections. Check the Start Year and End Year values",G$44))</f>
        <v/>
      </c>
      <c r="H45" s="122" t="str">
        <f>IF(E45="x",IF(H$44="Select an Encryption Level","",H$44),"")</f>
        <v/>
      </c>
      <c r="I45" s="123" t="str">
        <f>IF(E45="x",IF(I$44=0,"",I$44),"")</f>
        <v/>
      </c>
      <c r="J45" s="111"/>
    </row>
    <row r="46" spans="1:10" ht="120" customHeight="1" x14ac:dyDescent="0.3">
      <c r="A46" s="96"/>
      <c r="B46" s="115" t="s">
        <v>433</v>
      </c>
      <c r="C46" s="115" t="s">
        <v>281</v>
      </c>
      <c r="D46" s="117" t="str">
        <f>IF(AB_DM_Min_Year="N/A","N/A",IF(AB_DM_Max_Year=0,AB_DM_Min_Year, CONCATENATE(AB_DM_Min_Year," - ",AB_DM_Max_Year)))</f>
        <v>In the Research Project Info tab, select a NIA Study Institute partner to access data year availability information.</v>
      </c>
      <c r="E46" s="121" t="str">
        <f>IF(OR(E$44="Select X to Request All Files in Category",F$44="Select Start Year", G$44="Select End Year",F$44&gt;G$44, F$44&lt;AB_DM_Min_Year, F$44&gt;AB_DM_Max_Year, G$44&lt;AB_DM_Min_Year, G$44&gt;AB_DM_Max_Year, D46="N/A"),"",E$44)</f>
        <v/>
      </c>
      <c r="F46" s="122" t="str">
        <f>IF(OR(E$44="Select X to Request All Files in Category",F$44="Select Start Year",G$44="Select End Year",F$44&lt;AB_DM_Min_Year,F$44&gt;AB_DM_Max_Year,G$44&lt;AB_DM_Min_Year,G$44&gt;AB_DM_Max_Year,D46="N/A"),"",IF(F$44&gt;G$44,"Invalid year selections. Check the Start Year and End Year values",F$44))</f>
        <v/>
      </c>
      <c r="G46" s="122" t="str">
        <f>IF(OR(E$44="Select X to Request All Files in Category",F$44="Select Start Year",G$44="Select End Year",F$44&lt;AB_DM_Min_Year, F$44&gt;AB_DM_Max_Year, G$44&lt;AB_DM_Min_Year,G$44&gt;AB_DM_Max_Year, D46="N/A"),"",IF(F$44&gt;G$44,"Invalid year selections. Check the Start Year and End Year values",G$44))</f>
        <v/>
      </c>
      <c r="H46" s="122" t="str">
        <f t="shared" ref="H46:H52" si="2">IF(E46="x",IF(H$44="Select an Encryption Level","",H$44),"")</f>
        <v/>
      </c>
      <c r="I46" s="123" t="str">
        <f t="shared" ref="I46:I52" si="3">IF(E46="x",IF(I$44=0,"",I$44),"")</f>
        <v/>
      </c>
      <c r="J46" s="111"/>
    </row>
    <row r="47" spans="1:10" ht="120" customHeight="1" x14ac:dyDescent="0.3">
      <c r="A47" s="96"/>
      <c r="B47" s="115" t="s">
        <v>434</v>
      </c>
      <c r="C47" s="115" t="s">
        <v>297</v>
      </c>
      <c r="D47" s="117" t="str">
        <f>IF(AB_HH_Min_Year="N/A","N/A",IF(AB_HH_Max_Year=0,AB_HH_Min_Year, CONCATENATE(AB_HH_Min_Year," - ",AB_HH_Max_Year)))</f>
        <v>In the Research Project Info tab, select a NIA Study Institute partner to access data year availability information.</v>
      </c>
      <c r="E47" s="121" t="str">
        <f>IF(OR(E$44="Select X to Request All Files in Category",F$44="Select Start Year", G$44="Select End Year",F$44&gt;G$44, F$44&lt;AB_HH_Min_Year, F$44&gt;AB_HH_Max_Year, G$44&lt;AB_HH_Min_Year, G$44&gt;AB_HH_Max_Year, D47="N/A"),"",E$44)</f>
        <v/>
      </c>
      <c r="F47" s="122" t="str">
        <f>IF(OR(E$44="Select X to Request All Files in Category",F$44="Select Start Year",G$44="Select End Year",F$44&lt;AB_HH_Min_Year,F$44&gt;AB_HH_Max_Year,G$44&lt;AB_HH_Min_Year,G$44&gt;AB_HH_Max_Year,D47="N/A"),"",IF(F$44&gt;G$44,"Invalid year selections. Check the Start Year and End Year values",F$44))</f>
        <v/>
      </c>
      <c r="G47" s="122" t="str">
        <f>IF(OR(E$44="Select X to Request All Files in Category",F$44="Select Start Year",G$44="Select End Year",F$44&lt;AB_HH_Min_Year, F$44&gt;AB_HH_Max_Year, G$44&lt;AB_HH_Min_Year,G$44&gt;AB_HH_Max_Year, D47="N/A"),"",IF(F$44&gt;G$44,"Invalid year selections. Check the Start Year and End Year values",G$44))</f>
        <v/>
      </c>
      <c r="H47" s="122" t="str">
        <f t="shared" si="2"/>
        <v/>
      </c>
      <c r="I47" s="123" t="str">
        <f t="shared" si="3"/>
        <v/>
      </c>
      <c r="J47" s="111"/>
    </row>
    <row r="48" spans="1:10" ht="120" customHeight="1" x14ac:dyDescent="0.3">
      <c r="A48" s="96"/>
      <c r="B48" s="115" t="s">
        <v>435</v>
      </c>
      <c r="C48" s="115" t="s">
        <v>277</v>
      </c>
      <c r="D48" s="117" t="str">
        <f>IF(AB_HS_Min_Year="N/A","N/A",IF(AB_HS_Max_Year=0,AB_HS_Min_Year, CONCATENATE(AB_HS_Min_Year," - ",AB_HS_Max_Year)))</f>
        <v>In the Research Project Info tab, select a NIA Study Institute partner to access data year availability information.</v>
      </c>
      <c r="E48" s="121" t="str">
        <f>IF(OR(E$44="Select X to Request All Files in Category",F$44="Select Start Year", G$44="Select End Year",F$44&gt;G$44, F$44&lt;AB_HS_Min_Year, F$44&gt;AB_HS_Max_Year, G$44&lt;AB_HS_Min_Year, G$44&gt;AB_HS_Max_Year, D48="N/A"),"",E$44)</f>
        <v/>
      </c>
      <c r="F48" s="122" t="str">
        <f>IF(OR(E$44="Select X to Request All Files in Category",F$44="Select Start Year",G$44="Select End Year",F$44&lt;AB_HS_Min_Year,F$44&gt;AB_HS_Max_Year,G$44&lt;AB_HS_Min_Year,G$44&gt;AB_HS_Max_Year,D48="N/A"),"",IF(F$44&gt;G$44,"Invalid year selections. Check the Start Year and End Year values",F$44))</f>
        <v/>
      </c>
      <c r="G48" s="122" t="str">
        <f>IF(OR(E$44="Select X to Request All Files in Category",F$44="Select Start Year",G$44="Select End Year",F$44&lt;AB_HS_Min_Year, F$44&gt;AB_HS_Max_Year, G$44&lt;AB_HS_Min_Year,G$44&gt;AB_HS_Max_Year, D48="N/A"),"",IF(F$44&gt;G$44,"Invalid year selections. Check the Start Year and End Year values",G$44))</f>
        <v/>
      </c>
      <c r="H48" s="122" t="str">
        <f t="shared" si="2"/>
        <v/>
      </c>
      <c r="I48" s="123" t="str">
        <f t="shared" si="3"/>
        <v/>
      </c>
      <c r="J48" s="111"/>
    </row>
    <row r="49" spans="1:10" ht="120" customHeight="1" x14ac:dyDescent="0.3">
      <c r="A49" s="96"/>
      <c r="B49" s="115" t="s">
        <v>436</v>
      </c>
      <c r="C49" s="115" t="s">
        <v>257</v>
      </c>
      <c r="D49" s="117" t="str">
        <f>IF(AB_IP_Min_Year="N/A","N/A",IF(AB_IP_Max_Year=0,AB_IP_Min_Year, CONCATENATE(AB_IP_Min_Year," - ",AB_IP_Max_Year)))</f>
        <v>In the Research Project Info tab, select a NIA Study Institute partner to access data year availability information.</v>
      </c>
      <c r="E49" s="121" t="str">
        <f>IF(OR(E$44="Select X to Request All Files in Category",F$44="Select Start Year", G$44="Select End Year",F$44&gt;G$44, F$44&lt;AB_IP_Min_Year, F$44&gt;AB_IP_Max_Year, G$44&lt;AB_IP_Min_Year, G$44&gt;AB_IP_Max_Year, D49="N/A"),"",E$44)</f>
        <v/>
      </c>
      <c r="F49" s="122" t="str">
        <f>IF(OR(E$44="Select X to Request All Files in Category",F$44="Select Start Year",G$44="Select End Year",F$44&lt;AB_IP_Min_Year,F$44&gt;AB_IP_Max_Year,G$44&lt;AB_IP_Min_Year,G$44&gt;AB_IP_Max_Year,D49="N/A"),"",IF(F$44&gt;G$44,"Invalid year selections. Check the Start Year and End Year values",F$44))</f>
        <v/>
      </c>
      <c r="G49" s="122" t="str">
        <f>IF(OR(E$44="Select X to Request All Files in Category",F$44="Select Start Year",G$44="Select End Year",F$44&lt;AB_IP_Min_Year, F$44&gt;AB_IP_Max_Year, G$44&lt;AB_IP_Min_Year,G$44&gt;AB_IP_Max_Year, D49="N/A"),"",IF(F$44&gt;G$44,"Invalid year selections. Check the Start Year and End Year values",G$44))</f>
        <v/>
      </c>
      <c r="H49" s="122" t="str">
        <f t="shared" si="2"/>
        <v/>
      </c>
      <c r="I49" s="123" t="str">
        <f t="shared" si="3"/>
        <v/>
      </c>
      <c r="J49" s="111"/>
    </row>
    <row r="50" spans="1:10" ht="120" customHeight="1" x14ac:dyDescent="0.3">
      <c r="A50" s="96"/>
      <c r="B50" s="115" t="s">
        <v>437</v>
      </c>
      <c r="C50" s="115" t="s">
        <v>278</v>
      </c>
      <c r="D50" s="117" t="str">
        <f>IF(AB_OP_Min_Year="N/A","N/A",IF(AB_OP_Max_Year=0,AB_OP_Min_Year, CONCATENATE(AB_OP_Min_Year," - ",AB_OP_Max_Year)))</f>
        <v>In the Research Project Info tab, select a NIA Study Institute partner to access data year availability information.</v>
      </c>
      <c r="E50" s="121" t="str">
        <f>IF(OR(E$44="Select X to Request All Files in Category",F$44="Select Start Year", G$44="Select End Year",F$44&gt;G$44, F$44&lt;AB_OP_Min_Year, F$44&gt;AB_OP_Max_Year, G$44&lt;AB_OP_Min_Year, G$44&gt;AB_OP_Max_Year, D50="N/A"),"",E$44)</f>
        <v/>
      </c>
      <c r="F50" s="122" t="str">
        <f>IF(OR(E$44="Select X to Request All Files in Category",F$44="Select Start Year",G$44="Select End Year",F$44&lt;AB_OP_Min_Year,F$44&gt;AB_OP_Max_Year,G$44&lt;AB_OP_Min_Year,G$44&gt;AB_OP_Max_Year,D50="N/A"),"",IF(F$44&gt;G$44,"Invalid year selections. Check the Start Year and End Year values",F$44))</f>
        <v/>
      </c>
      <c r="G50" s="122" t="str">
        <f>IF(OR(E$44="Select X to Request All Files in Category",F$44="Select Start Year",G$44="Select End Year",F$44&lt;AB_OP_Min_Year, F$44&gt;AB_OP_Max_Year, G$44&lt;AB_OP_Min_Year,G$44&gt;AB_OP_Max_Year, D50="N/A"),"",IF(F$44&gt;G$44,"Invalid year selections. Check the Start Year and End Year values",G$44))</f>
        <v/>
      </c>
      <c r="H50" s="122" t="str">
        <f t="shared" si="2"/>
        <v/>
      </c>
      <c r="I50" s="123" t="str">
        <f t="shared" si="3"/>
        <v/>
      </c>
      <c r="J50" s="111"/>
    </row>
    <row r="51" spans="1:10" ht="120" customHeight="1" x14ac:dyDescent="0.3">
      <c r="A51" s="96"/>
      <c r="B51" s="115" t="s">
        <v>438</v>
      </c>
      <c r="C51" s="115" t="s">
        <v>279</v>
      </c>
      <c r="D51" s="117" t="str">
        <f>IF(AB_SN_Min_Year="N/A","N/A",IF(AB_SN_Max_Year=0,AB_SN_Min_Year, CONCATENATE(AB_SN_Min_Year," - ",AB_SN_Max_Year)))</f>
        <v>In the Research Project Info tab, select a NIA Study Institute partner to access data year availability information.</v>
      </c>
      <c r="E51" s="121" t="str">
        <f>IF(OR(E$44="Select X to Request All Files in Category",F$44="Select Start Year", G$44="Select End Year",F$44&gt;G$44, F$44&lt;AB_SN_Min_Year, F$44&gt;AB_SN_Max_Year, G$44&lt;AB_SN_Min_Year, G$44&gt;AB_SN_Max_Year, D51="N/A"),"",E$44)</f>
        <v/>
      </c>
      <c r="F51" s="122" t="str">
        <f>IF(OR(E$44="Select X to Request All Files in Category",F$44="Select Start Year",G$44="Select End Year",F$44&lt;AB_SN_Min_Year,F$44&gt;AB_SN_Max_Year,G$44&lt;AB_SN_Min_Year,G$44&gt;AB_SN_Max_Year,D51="N/A"),"",IF(F$44&gt;G$44,"Invalid year selections. Check the Start Year and End Year values",F$44))</f>
        <v/>
      </c>
      <c r="G51" s="122" t="str">
        <f>IF(OR(E$44="Select X to Request All Files in Category",F$44="Select Start Year",G$44="Select End Year",F$44&lt;AB_SN_Min_Year, F$44&gt;AB_SN_Max_Year, G$44&lt;AB_SN_Min_Year,G$44&gt;AB_SN_Max_Year, D51="N/A"),"",IF(F$44&gt;G$44,"Invalid year selections. Check the Start Year and End Year values",G$44))</f>
        <v/>
      </c>
      <c r="H51" s="122" t="str">
        <f t="shared" si="2"/>
        <v/>
      </c>
      <c r="I51" s="123" t="str">
        <f t="shared" si="3"/>
        <v/>
      </c>
      <c r="J51" s="111"/>
    </row>
    <row r="52" spans="1:10" ht="128.25" customHeight="1" x14ac:dyDescent="0.3">
      <c r="A52" s="96"/>
      <c r="B52" s="115" t="s">
        <v>715</v>
      </c>
      <c r="C52" s="115" t="s">
        <v>280</v>
      </c>
      <c r="D52" s="117" t="str">
        <f>IF(MedPAR_Min_Year="N/A","N/A",IF(MedPAR_Max_Year=0,MedPAR_Min_Year, CONCATENATE(MedPAR_Min_Year," - ",MedPAR_Max_Year)))</f>
        <v>In the Research Project Info tab, select a NIA Study Institute partner to access data year availability information.</v>
      </c>
      <c r="E52" s="121" t="str">
        <f>IF(OR(E$44="Select X to Request All Files in Category",F$44="Enter Start Year",G$44="Enter End Year",F$44&lt;Medicare_Claims_Data_Min_Year, F$44&gt;Medicare_Claims_Data_Max_Year,G$44&lt;Medicare_Claims_Data_Min_Year,G$44&gt;Medicare_Claims_Data_Max_Year,F$44&gt;G$44, D$52="N/A"),"",IF(F44&gt;MedPAR_Max_Year,"",E$44))</f>
        <v/>
      </c>
      <c r="F52" s="122" t="str">
        <f>IF(OR(E$44="Select X to Request All Files in Category", F$44="Enter Start Year", G$44="Enter End Year", F$44&lt;Medicare_Claims_Data_Min_Year, F$44&gt;Medicare_Claims_Data_Max_Year, G$44&lt;Medicare_Claims_Data_Min_Year, G$44&gt;Medicare_Claims_Data_Max_Year, D52="N/A"),"", IF(AND(F$44&gt;G$44, E$44="x"), "Invalid year(s) entered. Check the Start Year and End Year values.", IF(F$44&gt;MedPAR_Max_Year, "", F$44)))</f>
        <v/>
      </c>
      <c r="G52" s="122" t="str">
        <f>IF(OR(E$44="Select X to Request All Files in Category", F$44="Enter Start Year", G$44="Enter End Year", F$44&lt;Medicare_Claims_Data_Min_Year, F$44&gt;Medicare_Claims_Data_Max_Year, G$44&lt;Medicare_Claims_Data_Min_Year, G$44&gt;Medicare_Claims_Data_Max_Year,D52="N/A"),"", IF(AND(F$44&gt;G$44, E$44="x"),"Invalid year(s) entered. Check the Start Year and End Year values.", IF(F$44&gt;MedPAR_Max_Year,"", IF(G$44&gt;MedPAR_Max_Year, MedPAR_Max_Year, G$44))))</f>
        <v/>
      </c>
      <c r="H52" s="122" t="str">
        <f t="shared" si="2"/>
        <v/>
      </c>
      <c r="I52" s="123" t="str">
        <f t="shared" si="3"/>
        <v/>
      </c>
      <c r="J52" s="111"/>
    </row>
    <row r="53" spans="1:10" ht="55.35" customHeight="1" x14ac:dyDescent="0.3">
      <c r="A53" s="96"/>
      <c r="B53" s="124" t="s">
        <v>231</v>
      </c>
      <c r="C53" s="125"/>
      <c r="D53" s="97"/>
      <c r="E53" s="98"/>
      <c r="F53" s="98"/>
      <c r="G53" s="98"/>
      <c r="H53" s="97"/>
      <c r="I53" s="97"/>
      <c r="J53" s="96"/>
    </row>
    <row r="54" spans="1:10" ht="22.5" customHeight="1" x14ac:dyDescent="0.3">
      <c r="A54" s="96"/>
      <c r="B54" s="330" t="s">
        <v>648</v>
      </c>
      <c r="C54" s="331"/>
      <c r="D54" s="128"/>
      <c r="E54" s="128"/>
      <c r="F54" s="128"/>
      <c r="G54" s="128"/>
      <c r="H54" s="128"/>
      <c r="I54" s="129"/>
      <c r="J54" s="96"/>
    </row>
    <row r="55" spans="1:10" ht="40.15" customHeight="1" thickBot="1" x14ac:dyDescent="0.35">
      <c r="A55" s="96"/>
      <c r="B55" s="338" t="s">
        <v>655</v>
      </c>
      <c r="C55" s="340"/>
      <c r="D55" s="340"/>
      <c r="E55" s="340"/>
      <c r="F55" s="340"/>
      <c r="G55" s="340"/>
      <c r="H55" s="130"/>
      <c r="I55" s="131"/>
      <c r="J55" s="96"/>
    </row>
    <row r="56" spans="1:10" ht="80.099999999999994" customHeight="1" thickBot="1" x14ac:dyDescent="0.35">
      <c r="A56" s="96"/>
      <c r="B56" s="105" t="s">
        <v>82</v>
      </c>
      <c r="C56" s="106" t="s">
        <v>154</v>
      </c>
      <c r="D56" s="107" t="s">
        <v>22</v>
      </c>
      <c r="E56" s="108" t="s">
        <v>310</v>
      </c>
      <c r="F56" s="109" t="s">
        <v>306</v>
      </c>
      <c r="G56" s="109" t="s">
        <v>307</v>
      </c>
      <c r="H56" s="109" t="s">
        <v>308</v>
      </c>
      <c r="I56" s="110" t="s">
        <v>752</v>
      </c>
      <c r="J56" s="96"/>
    </row>
    <row r="57" spans="1:10" ht="99.95" customHeight="1" thickBot="1" x14ac:dyDescent="0.35">
      <c r="A57" s="96"/>
      <c r="B57" s="112"/>
      <c r="C57" s="113"/>
      <c r="D57" s="114"/>
      <c r="E57" s="284" t="s">
        <v>287</v>
      </c>
      <c r="F57" s="284" t="s">
        <v>403</v>
      </c>
      <c r="G57" s="284" t="s">
        <v>404</v>
      </c>
      <c r="H57" s="284" t="s">
        <v>296</v>
      </c>
      <c r="I57" s="285"/>
      <c r="J57" s="96"/>
    </row>
    <row r="58" spans="1:10" ht="128.1" customHeight="1" x14ac:dyDescent="0.3">
      <c r="A58" s="96"/>
      <c r="B58" s="115" t="s">
        <v>260</v>
      </c>
      <c r="C58" s="115" t="s">
        <v>578</v>
      </c>
      <c r="D58" s="117" t="str">
        <f>IF(C_Carrier_Min_Year="N/A","N/A",IF(C_Carrier_Max_Year=0,C_Carrier_Min_Year, CONCATENATE(C_Carrier_Min_Year," - ",C_Carrier_Max_Year)))</f>
        <v>In the Research Project Info tab, select a NIA Study Institute partner to access data year availability information.</v>
      </c>
      <c r="E58" s="121" t="str">
        <f>IF(OR(E$57="Select X to Request All Files in Category",F$57="Enter Start Year", G$57="Enter End Year",F$57&gt;G$57,F$57&lt;Part_C_Claims_Data_Min_Year, F$57&gt;Part_C_Claims_Data_Max_Year, G$57&lt;C_Carrier_Min_Year, G$57&gt;C_Carrier_Max_Year, D58="N/A"),"",E$57)</f>
        <v/>
      </c>
      <c r="F58" s="122" t="str">
        <f>IF(OR(E$57="Select X to Request All Files in Category",F$57="Enter Start Year",G$57="Enter End Year",F$57&lt;Part_C_Claims_Data_Min_Year, F$57&gt;Part_C_Claims_Data_Max_Year, G$57&lt;C_Carrier_Min_Year, G$57&gt;C_Carrier_Max_Year, D58="N/A"),"",IF(F$57&gt;G$57,"Invalid year selections. Check the Start Year and End Year values",F$57))</f>
        <v/>
      </c>
      <c r="G58" s="122" t="str">
        <f>IF(OR(E$57="Select X to Request All Files in Category",F$57="Enter Start Year",G$57="Enter End Year",F$57&lt;Part_C_Claims_Data_Min_Year, F$57&gt;Part_C_Claims_Data_Max_Year, G$57&lt;C_Carrier_Min_Year, G$57&gt;C_Carrier_Max_Year, D58="N/A"),"",IF(F$57&gt;G$57,"Invalid year selections. Check the Start Year and End Year values",G$57))</f>
        <v/>
      </c>
      <c r="H58" s="122" t="str">
        <f>IF(E58="x",IF(H$57="Select an Encryption Level","",H$57),"")</f>
        <v/>
      </c>
      <c r="I58" s="123" t="str">
        <f>IF(E58="x",IF(I$57=0,"",I$57),"")</f>
        <v/>
      </c>
      <c r="J58" s="96"/>
    </row>
    <row r="59" spans="1:10" ht="128.1" customHeight="1" x14ac:dyDescent="0.3">
      <c r="A59" s="96"/>
      <c r="B59" s="115" t="s">
        <v>261</v>
      </c>
      <c r="C59" s="115" t="s">
        <v>579</v>
      </c>
      <c r="D59" s="117" t="str">
        <f>IF(C_DME_Min_Year="N/A","N/A",IF(C_DME_Max_Year=0,C_DME_Min_Year, CONCATENATE(C_DME_Min_Year," - ",C_DME_Max_Year)))</f>
        <v>In the Research Project Info tab, select a NIA Study Institute partner to access data year availability information.</v>
      </c>
      <c r="E59" s="121" t="str">
        <f>IF(OR(E$57="Select X to Request All Files in Category",F$57="Enter Start Year", G$57="Enter End Year",F$57&gt;G$57,F$57&lt;Part_C_Claims_Data_Min_Year, F$57&gt;Part_C_Claims_Data_Max_Year, G$57&lt;C_DME_Min_Year, G$57&gt;C_DME_Max_Year, D59="N/A"),"",E$57)</f>
        <v/>
      </c>
      <c r="F59" s="122" t="str">
        <f>IF(OR(E$57="Select X to Request All Files in Category",F$57="Enter Start Year",G$57="Enter End Year",F$57&lt;Part_C_Claims_Data_Min_Year, F$57&gt;Part_C_Claims_Data_Max_Year, G$57&lt;C_DME_Min_Year, G$57&gt;C_DME_Max_Year, D59="N/A"),"",IF(F$57&gt;G$57,"Invalid year selections. Check the Start Year and End Year values",F$57))</f>
        <v/>
      </c>
      <c r="G59" s="122" t="str">
        <f>IF(OR(E$57="Select X to Request All Files in Category",F$57="Enter Start Year",G$57="Enter End Year",F$57&lt;Part_C_Claims_Data_Min_Year, F$57&gt;Part_C_Claims_Data_Max_Year, G$57&lt;C_DME_Min_Year, G$57&gt;C_DME_Max_Year, D59="N/A"),"",IF(F$57&gt;G$57,"Invalid year selections. Check the Start Year and End Year values",G$57))</f>
        <v/>
      </c>
      <c r="H59" s="122" t="str">
        <f t="shared" ref="H59:H63" si="4">IF(E59="x",IF(H$57="Select an Encryption Level","",H$57),"")</f>
        <v/>
      </c>
      <c r="I59" s="123" t="str">
        <f t="shared" ref="I59:I63" si="5">IF(E59="x",IF(I$57=0,"",I$57),"")</f>
        <v/>
      </c>
      <c r="J59" s="96"/>
    </row>
    <row r="60" spans="1:10" ht="128.1" customHeight="1" x14ac:dyDescent="0.3">
      <c r="A60" s="96"/>
      <c r="B60" s="115" t="s">
        <v>262</v>
      </c>
      <c r="C60" s="115" t="s">
        <v>580</v>
      </c>
      <c r="D60" s="117" t="str">
        <f>IF(C_HH_Min_Year="N/A","N/A",IF(C_HH_Max_Year=0,C_HH_Min_Year, CONCATENATE(C_HH_Min_Year," - ",C_HH_Max_Year)))</f>
        <v>In the Research Project Info tab, select a NIA Study Institute partner to access data year availability information.</v>
      </c>
      <c r="E60" s="121" t="str">
        <f>IF(OR(E$57="Select X to Request All Files in Category",F$57="Enter Start Year", G$57="Enter End Year",F$57&gt;G$57,F$57&lt;Part_C_Claims_Data_Min_Year, F$57&gt;Part_C_Claims_Data_Max_Year, G$57&lt;C_HH_Min_Year, G$57&gt;C_HH_Max_Year, D60="N/A"),"",E$57)</f>
        <v/>
      </c>
      <c r="F60" s="122" t="str">
        <f>IF(OR(E$57="Select X to Request All Files in Category",F$57="Enter Start Year",G$57="Enter End Year",F$57&lt;Part_C_Claims_Data_Min_Year, F$57&gt;Part_C_Claims_Data_Max_Year, G$57&lt;C_HH_Min_Year, G$57&gt;C_HH_Max_Year, D60="N/A"),"",IF(F$57&gt;G$57,"Invalid year selections. Check the Start Year and End Year values",F$57))</f>
        <v/>
      </c>
      <c r="G60" s="122" t="str">
        <f>IF(OR(E$57="Select X to Request All Files in Category",F$57="Enter Start Year",G$57="Enter End Year",F$57&lt;Part_C_Claims_Data_Min_Year, F$57&gt;Part_C_Claims_Data_Max_Year, G$57&lt;C_HH_Min_Year, G$57&gt;C_HH_Max_Year, D60="N/A"),"",IF(F$57&gt;G$57,"Invalid year selections. Check the Start Year and End Year values",G$57))</f>
        <v/>
      </c>
      <c r="H60" s="122" t="str">
        <f t="shared" si="4"/>
        <v/>
      </c>
      <c r="I60" s="123" t="str">
        <f t="shared" si="5"/>
        <v/>
      </c>
      <c r="J60" s="96"/>
    </row>
    <row r="61" spans="1:10" ht="128.1" customHeight="1" x14ac:dyDescent="0.3">
      <c r="A61" s="96"/>
      <c r="B61" s="115" t="s">
        <v>263</v>
      </c>
      <c r="C61" s="115" t="s">
        <v>581</v>
      </c>
      <c r="D61" s="117" t="str">
        <f>IF(C_IP_Min_Year="N/A","N/A",IF(C_IP_Max_Year=0,C_IP_Min_Year, CONCATENATE(C_IP_Min_Year," - ",C_IP_Max_Year)))</f>
        <v>In the Research Project Info tab, select a NIA Study Institute partner to access data year availability information.</v>
      </c>
      <c r="E61" s="121" t="str">
        <f>IF(OR(E$57="Select X to Request All Files in Category",F$57="Enter Start Year", G$57="Enter End Year",F$57&gt;G$57,F$57&lt;Part_C_Claims_Data_Min_Year, F$57&gt;Part_C_Claims_Data_Max_Year, G$57&lt;C_IP_Min_Year, G$57&gt;C_IP_Max_Year, D61="N/A"),"",E$57)</f>
        <v/>
      </c>
      <c r="F61" s="122" t="str">
        <f>IF(OR(E$57="Select X to Request All Files in Category",F$57="Enter Start Year",G$57="Enter End Year",F$57&lt;Part_C_Claims_Data_Min_Year, F$57&gt;Part_C_Claims_Data_Max_Year, G$57&lt;C_IP_Min_Year, G$57&gt;C_IP_Max_Year, D61="N/A"),"",IF(F$57&gt;G$57,"Invalid year selections. Check the Start Year and End Year values",F$57))</f>
        <v/>
      </c>
      <c r="G61" s="122" t="str">
        <f>IF(OR(E$57="Select X to Request All Files in Category",F$57="Enter Start Year",G$57="Enter End Year",F$57&lt;Part_C_Claims_Data_Min_Year, F$57&gt;Part_C_Claims_Data_Max_Year, G$57&lt;C_IP_Min_Year, G$57&gt;C_IP_Max_Year, D61="N/A"),"",IF(F$57&gt;G$57,"Invalid year selections. Check the Start Year and End Year values",G$57))</f>
        <v/>
      </c>
      <c r="H61" s="122" t="str">
        <f t="shared" si="4"/>
        <v/>
      </c>
      <c r="I61" s="123" t="str">
        <f t="shared" si="5"/>
        <v/>
      </c>
      <c r="J61" s="96"/>
    </row>
    <row r="62" spans="1:10" ht="128.1" customHeight="1" x14ac:dyDescent="0.3">
      <c r="A62" s="96"/>
      <c r="B62" s="115" t="s">
        <v>264</v>
      </c>
      <c r="C62" s="115" t="s">
        <v>582</v>
      </c>
      <c r="D62" s="117" t="str">
        <f>IF(C_OP_Min_Year="N/A","N/A",IF(C_OP_Max_Year=0,C_OP_Min_Year, CONCATENATE(C_OP_Min_Year," - ",C_OP_Max_Year)))</f>
        <v>In the Research Project Info tab, select a NIA Study Institute partner to access data year availability information.</v>
      </c>
      <c r="E62" s="121" t="str">
        <f>IF(OR(E$57="Select X to Request All Files in Category",F$57="Enter Start Year", G$57="Enter End Year",F$57&gt;G$57,F$57&lt;Part_C_Claims_Data_Min_Year, F$57&gt;Part_C_Claims_Data_Max_Year, G$57&lt;C_OP_Min_Year, G$57&gt;C_OP_Max_Year, D62="N/A"),"",E$57)</f>
        <v/>
      </c>
      <c r="F62" s="122" t="str">
        <f>IF(OR(E$57="Select X to Request All Files in Category",F$57="Enter Start Year",G$57="Enter End Year",F$57&lt;Part_C_Claims_Data_Min_Year, F$57&gt;Part_C_Claims_Data_Max_Year, G$57&lt;C_OP_Min_Year, G$57&gt;C_OP_Max_Year, D62="N/A"),"",IF(F$57&gt;G$57,"Invalid year selections. Check the Start Year and End Year values",F$57))</f>
        <v/>
      </c>
      <c r="G62" s="122" t="str">
        <f>IF(OR(E$57="Select X to Request All Files in Category",F$57="Enter Start Year",G$57="Enter End Year",F$57&lt;Part_C_Claims_Data_Min_Year, F$57&gt;Part_C_Claims_Data_Max_Year, G$57&lt;C_OP_Min_Year, G$57&gt;C_OP_Max_Year, D62="N/A"),"",IF(F$57&gt;G$57,"Invalid year selections. Check the Start Year and End Year values",G$57))</f>
        <v/>
      </c>
      <c r="H62" s="122" t="str">
        <f t="shared" si="4"/>
        <v/>
      </c>
      <c r="I62" s="123" t="str">
        <f t="shared" si="5"/>
        <v/>
      </c>
      <c r="J62" s="96"/>
    </row>
    <row r="63" spans="1:10" ht="128.1" customHeight="1" x14ac:dyDescent="0.3">
      <c r="A63" s="96"/>
      <c r="B63" s="115" t="s">
        <v>265</v>
      </c>
      <c r="C63" s="115" t="s">
        <v>583</v>
      </c>
      <c r="D63" s="117" t="str">
        <f>IF(C_SNF_Min_Year="N/A","N/A",IF(C_SNF_Max_Year=0,C_SNF_Min_Year, CONCATENATE(C_SNF_Min_Year," - ",C_SNF_Max_Year)))</f>
        <v>In the Research Project Info tab, select a NIA Study Institute partner to access data year availability information.</v>
      </c>
      <c r="E63" s="121" t="str">
        <f>IF(OR(E$57="Select X to Request All Files in Category",F$57="Enter Start Year", G$57="Enter End Year",F$57&gt;G$57,F$57&lt;Part_C_Claims_Data_Min_Year, F$57&gt;Part_C_Claims_Data_Max_Year, G$57&lt;C_SNF_Min_Year, G$57&gt;C_SNF_Max_Year, D63="N/A"),"",E$57)</f>
        <v/>
      </c>
      <c r="F63" s="122" t="str">
        <f>IF(OR(E$57="Select X to Request All Files in Category",F$57="Enter Start Year",G$57="Enter End Year",F$57&lt;Part_C_Claims_Data_Min_Year, F$57&gt;Part_C_Claims_Data_Max_Year, G$57&lt;C_SNF_Min_Year, G$57&gt;C_SNF_Max_Year, D63="N/A"),"",IF(F$57&gt;G$57,"Invalid year selections. Check the Start Year and End Year values",F$57))</f>
        <v/>
      </c>
      <c r="G63" s="122" t="str">
        <f>IF(OR(E$57="Select X to Request All Files in Category",F$57="Enter Start Year",G$57="Enter End Year",F$57&lt;Part_C_Claims_Data_Min_Year, F$57&gt;Part_C_Claims_Data_Max_Year, G$57&lt;C_SNF_Min_Year, G$57&gt;C_SNF_Max_Year, D63="N/A"),"",IF(F$57&gt;G$57,"Invalid year selections. Check the Start Year and End Year values",G$57))</f>
        <v/>
      </c>
      <c r="H63" s="122" t="str">
        <f t="shared" si="4"/>
        <v/>
      </c>
      <c r="I63" s="123" t="str">
        <f t="shared" si="5"/>
        <v/>
      </c>
      <c r="J63" s="96"/>
    </row>
    <row r="64" spans="1:10" ht="55.35" customHeight="1" x14ac:dyDescent="0.3">
      <c r="A64" s="96"/>
      <c r="B64" s="124" t="s">
        <v>231</v>
      </c>
      <c r="C64" s="125"/>
      <c r="D64" s="97"/>
      <c r="E64" s="98"/>
      <c r="F64" s="98"/>
      <c r="G64" s="98"/>
      <c r="H64" s="97"/>
      <c r="I64" s="97"/>
      <c r="J64" s="96"/>
    </row>
    <row r="65" spans="1:10" ht="22.5" customHeight="1" x14ac:dyDescent="0.3">
      <c r="A65" s="96"/>
      <c r="B65" s="99" t="s">
        <v>649</v>
      </c>
      <c r="C65" s="136"/>
      <c r="D65" s="136"/>
      <c r="E65" s="136"/>
      <c r="F65" s="136"/>
      <c r="G65" s="136"/>
      <c r="H65" s="136"/>
      <c r="I65" s="137"/>
      <c r="J65" s="96"/>
    </row>
    <row r="66" spans="1:10" ht="35.450000000000003" customHeight="1" x14ac:dyDescent="0.3">
      <c r="A66" s="96"/>
      <c r="B66" s="328" t="s">
        <v>716</v>
      </c>
      <c r="C66" s="329"/>
      <c r="D66" s="329"/>
      <c r="E66" s="329"/>
      <c r="F66" s="329"/>
      <c r="G66" s="329"/>
      <c r="H66" s="138"/>
      <c r="I66" s="139"/>
      <c r="J66" s="96"/>
    </row>
    <row r="67" spans="1:10" s="22" customFormat="1" ht="30" customHeight="1" x14ac:dyDescent="0.3">
      <c r="A67" s="150"/>
      <c r="B67" s="345" t="s">
        <v>780</v>
      </c>
      <c r="C67" s="346"/>
      <c r="D67" s="347"/>
      <c r="E67" s="347"/>
      <c r="F67" s="347"/>
      <c r="G67" s="347"/>
      <c r="H67" s="347"/>
      <c r="I67" s="348"/>
      <c r="J67" s="150"/>
    </row>
    <row r="68" spans="1:10" s="22" customFormat="1" ht="42.6" customHeight="1" thickBot="1" x14ac:dyDescent="0.35">
      <c r="A68" s="150"/>
      <c r="B68" s="341" t="s">
        <v>656</v>
      </c>
      <c r="C68" s="342"/>
      <c r="D68" s="342"/>
      <c r="E68" s="342"/>
      <c r="F68" s="342"/>
      <c r="G68" s="342"/>
      <c r="H68" s="343"/>
      <c r="I68" s="344"/>
      <c r="J68" s="150"/>
    </row>
    <row r="69" spans="1:10" ht="80.25" customHeight="1" thickBot="1" x14ac:dyDescent="0.35">
      <c r="A69" s="96"/>
      <c r="B69" s="105" t="s">
        <v>82</v>
      </c>
      <c r="C69" s="106" t="s">
        <v>154</v>
      </c>
      <c r="D69" s="107" t="s">
        <v>22</v>
      </c>
      <c r="E69" s="108" t="s">
        <v>311</v>
      </c>
      <c r="F69" s="109" t="s">
        <v>306</v>
      </c>
      <c r="G69" s="109" t="s">
        <v>307</v>
      </c>
      <c r="H69" s="109" t="s">
        <v>308</v>
      </c>
      <c r="I69" s="110" t="s">
        <v>753</v>
      </c>
      <c r="J69" s="132"/>
    </row>
    <row r="70" spans="1:10" ht="100.35" customHeight="1" thickBot="1" x14ac:dyDescent="0.35">
      <c r="A70" s="96"/>
      <c r="B70" s="112"/>
      <c r="C70" s="113"/>
      <c r="D70" s="114"/>
      <c r="E70" s="284" t="s">
        <v>287</v>
      </c>
      <c r="F70" s="284" t="s">
        <v>403</v>
      </c>
      <c r="G70" s="284" t="s">
        <v>404</v>
      </c>
      <c r="H70" s="284" t="s">
        <v>296</v>
      </c>
      <c r="I70" s="285"/>
      <c r="J70" s="132"/>
    </row>
    <row r="71" spans="1:10" ht="128.25" customHeight="1" x14ac:dyDescent="0.3">
      <c r="A71" s="96"/>
      <c r="B71" s="115" t="s">
        <v>237</v>
      </c>
      <c r="C71" s="115" t="s">
        <v>238</v>
      </c>
      <c r="D71" s="117" t="str">
        <f>IF(MTM_Min_Year="N/A","N/A",IF(MTM_Max_Year=0,MTM_Min_Year, CONCATENATE(MTM_Min_Year," - ",MTM_Max_Year)))</f>
        <v>In the Research Project Info tab, select a NIA Study Institute partner to access data year availability information.</v>
      </c>
      <c r="E71" s="121" t="str">
        <f>IF(OR(E$70="Select X to Request All Files in Category",F$70="Enter Start Year", G70="Enter End Year",F$70&gt;G$70,F$70&lt;MTM_Min_Year,F$70&gt;MTM_Max_Year,G$70&lt;MTM_Min_Year,G$70&gt;MTM_Max_Year, D71="N/A"),"",E$70)</f>
        <v/>
      </c>
      <c r="F71" s="122" t="str">
        <f>IF(OR(E$70="Select X to Request All Files in Category",F$70="Enter Start Year",G$70="Enter End Year", F$70&lt;MTM_Min_Year,F$70&gt;MTM_Max_Year,G$70&lt;MTM_Min_Year,G$70&gt;MTM_Max_Year, D71="N/A"),"",IF(F$70&gt;G$70,"Invalid year selections. Check the Start Year and End Year values",F$70))</f>
        <v/>
      </c>
      <c r="G71" s="122" t="str">
        <f>IF(OR(E$70="Select X to Request All Files in Category",F$70="Enter Start Year",G$70="Enter End Year",F$70&lt;MTM_Min_Year,F$70&gt;MTM_Max_Year,G$70&lt;MTM_Min_Year,G$70&gt;MTM_Max_Year, D71="N/A"),"",IF(F$70&gt;G$70,"Invalid year selections. Check the Start Year and End Year values",G$70))</f>
        <v/>
      </c>
      <c r="H71" s="122" t="str">
        <f>IF(E71="x",IF(H$70="Select an Encryption Level","",H$70),"")</f>
        <v/>
      </c>
      <c r="I71" s="123" t="str">
        <f>IF(E71="x",IF(I$70=0,"",I$70),"")</f>
        <v/>
      </c>
      <c r="J71" s="132"/>
    </row>
    <row r="72" spans="1:10" ht="55.35" customHeight="1" x14ac:dyDescent="0.3">
      <c r="A72" s="96"/>
      <c r="B72" s="124" t="s">
        <v>231</v>
      </c>
      <c r="C72" s="125"/>
      <c r="D72" s="97"/>
      <c r="E72" s="98"/>
      <c r="F72" s="98"/>
      <c r="G72" s="98"/>
      <c r="H72" s="97"/>
      <c r="I72" s="97"/>
      <c r="J72" s="96"/>
    </row>
    <row r="73" spans="1:10" ht="22.5" customHeight="1" x14ac:dyDescent="0.3">
      <c r="A73" s="96"/>
      <c r="B73" s="99" t="str">
        <f>IF(SelectSurvey=1, "Note: While Medicaid data may be requested under this DUA, release of Medicaid data is delayed due to pending HRS updates. The LINKAGE team will notify your team as soon as the Medicaid data is available.", "Medicaid Claims Data")</f>
        <v>Medicaid Claims Data</v>
      </c>
      <c r="C73" s="136"/>
      <c r="D73" s="136"/>
      <c r="E73" s="136"/>
      <c r="F73" s="136"/>
      <c r="G73" s="136"/>
      <c r="H73" s="136"/>
      <c r="I73" s="137"/>
      <c r="J73" s="96"/>
    </row>
    <row r="74" spans="1:10" ht="34.15" customHeight="1" x14ac:dyDescent="0.3">
      <c r="A74" s="96"/>
      <c r="B74" s="328" t="s">
        <v>717</v>
      </c>
      <c r="C74" s="329"/>
      <c r="D74" s="329"/>
      <c r="E74" s="329"/>
      <c r="F74" s="329"/>
      <c r="G74" s="329"/>
      <c r="H74" s="138"/>
      <c r="I74" s="139"/>
      <c r="J74" s="96"/>
    </row>
    <row r="75" spans="1:10" ht="46.15" customHeight="1" thickBot="1" x14ac:dyDescent="0.35">
      <c r="A75" s="96"/>
      <c r="B75" s="338" t="s">
        <v>657</v>
      </c>
      <c r="C75" s="340"/>
      <c r="D75" s="340"/>
      <c r="E75" s="340"/>
      <c r="F75" s="340"/>
      <c r="G75" s="340"/>
      <c r="H75" s="130"/>
      <c r="I75" s="131"/>
      <c r="J75" s="96"/>
    </row>
    <row r="76" spans="1:10" ht="80.25" customHeight="1" thickBot="1" x14ac:dyDescent="0.35">
      <c r="A76" s="96"/>
      <c r="B76" s="105" t="s">
        <v>82</v>
      </c>
      <c r="C76" s="106" t="s">
        <v>154</v>
      </c>
      <c r="D76" s="107" t="s">
        <v>22</v>
      </c>
      <c r="E76" s="108" t="s">
        <v>312</v>
      </c>
      <c r="F76" s="109" t="s">
        <v>306</v>
      </c>
      <c r="G76" s="109" t="s">
        <v>307</v>
      </c>
      <c r="H76" s="109" t="s">
        <v>308</v>
      </c>
      <c r="I76" s="110" t="s">
        <v>754</v>
      </c>
      <c r="J76" s="132"/>
    </row>
    <row r="77" spans="1:10" ht="100.35" customHeight="1" thickBot="1" x14ac:dyDescent="0.35">
      <c r="A77" s="96"/>
      <c r="B77" s="112"/>
      <c r="C77" s="113"/>
      <c r="D77" s="114"/>
      <c r="E77" s="284" t="s">
        <v>287</v>
      </c>
      <c r="F77" s="284" t="s">
        <v>204</v>
      </c>
      <c r="G77" s="284" t="s">
        <v>205</v>
      </c>
      <c r="H77" s="284" t="s">
        <v>296</v>
      </c>
      <c r="I77" s="285"/>
      <c r="J77" s="132"/>
    </row>
    <row r="78" spans="1:10" ht="128.25" customHeight="1" x14ac:dyDescent="0.3">
      <c r="A78" s="96"/>
      <c r="B78" s="115" t="s">
        <v>243</v>
      </c>
      <c r="C78" s="115" t="s">
        <v>274</v>
      </c>
      <c r="D78" s="117" t="str">
        <f>IF(MAX_IP_Min_Year="N/A","N/A",IF(MAX_IP_Max_Year=0,MAX_IP_Min_Year, CONCATENATE(MAX_IP_Min_Year," - ",MAX_IP_Max_Year)))</f>
        <v>In the Research Project Info tab, select a NIA Study Institute partner to access data year availability information.</v>
      </c>
      <c r="E78" s="121" t="str">
        <f>IF(OR(E$77="Select X to Request All Files in Category", F$77="Enter Start Year", G$77="Enter End Year", F$77&lt;Medicaid_Claims_Data_Min_Year, F$77&gt;Medicaid_Claims_Data_Max_Year, G$77&lt;Medicaid_Claims_Data_Min_Year, G$77&gt;Medicaid_Claims_Data_Max_Year, F$77&gt;G$77, D$78="N/A"),"",IF(F$77&gt;MAX_IP_Max_Year,"",E$77))</f>
        <v/>
      </c>
      <c r="F78" s="122" t="str">
        <f>IF(OR(E$77="Select X to Request All Files in Category", F$77="Enter Start Year", G$77="Enter End Year", F$77&lt;Medicaid_Claims_Data_Min_Year, F$77&gt;Medicaid_Claims_Data_Max_Year, G$77&lt;Medicaid_Claims_Data_Min_Year, G$77&gt;Medicaid_Claims_Data_Max_Year, D78="N/A"),"",IF(AND(F$77&gt;G$77,E$77="x"),"Invalid year(s) entered. Check the Start Year and End Year values.", IF(F$77&gt;MAX_IP_Max_Year, "", F$77)))</f>
        <v/>
      </c>
      <c r="G78" s="122" t="str">
        <f>IF(OR(E$77="Select X to Request All Files in Category", F$77="Enter Start Year", G$77="Enter End Year", F$77&lt;Medicaid_Claims_Data_Min_Year, F$77&gt;Medicaid_Claims_Data_Max_Year, G$77&lt;Medicaid_Claims_Data_Min_Year, G$77&gt;Medicaid_Claims_Data_Max_Year, D78="N/A"),"",IF(AND(F$77&gt;G$77,E$77="x"), "Invalid year(s) entered. Check the Start Year and End Year values.", IF(F$77&gt;MAX_IP_Max_Year,"", IF(G$77&gt;=MAX_IP_Max_Year, MAX_IP_Max_Year, G$77))))</f>
        <v/>
      </c>
      <c r="H78" s="122" t="str">
        <f>IF(E78="x",IF(H$77="Select an Encryption Level","",H$77),"")</f>
        <v/>
      </c>
      <c r="I78" s="123" t="str">
        <f>IF(E78="x",IF(I$77=0,"",I$77),"")</f>
        <v/>
      </c>
      <c r="J78" s="132"/>
    </row>
    <row r="79" spans="1:10" ht="128.25" customHeight="1" x14ac:dyDescent="0.3">
      <c r="A79" s="96"/>
      <c r="B79" s="115" t="s">
        <v>244</v>
      </c>
      <c r="C79" s="115" t="s">
        <v>275</v>
      </c>
      <c r="D79" s="117" t="str">
        <f>IF(MAX_LT_Min_Year="N/A","N/A",IF(MAX_LT_Max_Year=0,MAX_LT_Min_Year, CONCATENATE(MAX_LT_Min_Year," - ",MAX_LT_Max_Year)))</f>
        <v>In the Research Project Info tab, select a NIA Study Institute partner to access data year availability information.</v>
      </c>
      <c r="E79" s="121" t="str">
        <f>IF(OR(E$77="Select X to Request All Files in Category", F$77="Enter Start Year", G$77="Enter End Year", F$77&lt;Medicaid_Claims_Data_Min_Year, F$77&gt;Medicaid_Claims_Data_Max_Year, G$77&lt;Medicaid_Claims_Data_Min_Year, G$77&gt;Medicaid_Claims_Data_Max_Year, F$77&gt;G$77, D$79="N/A"),"",IF(F$77&gt;MAX_LT_Max_Year,"",E$77))</f>
        <v/>
      </c>
      <c r="F79" s="122" t="str">
        <f>IF(OR(E$77="Select X to Request All Files in Category", F$77="Enter Start Year", G$77="Enter End Year", F$77&lt;Medicaid_Claims_Data_Min_Year, F$77&gt;Medicaid_Claims_Data_Max_Year, G$77&lt;Medicaid_Claims_Data_Min_Year, G$77&gt;Medicaid_Claims_Data_Max_Year, D79="N/A"),"",IF(AND(F$77&gt;G$77,E$77="x"),"Invalid year(s) entered. Check the Start Year and End Year values.", IF(F$77&gt;MAX_LT_Max_Year, "", F$77)))</f>
        <v/>
      </c>
      <c r="G79" s="122" t="str">
        <f>IF(OR(E$77="Select X to Request All Files in Category", F$77="Enter Start Year", G$77="Enter End Year", F$77&lt;Medicaid_Claims_Data_Min_Year, F$77&gt;Medicaid_Claims_Data_Max_Year, G$77&lt;Medicaid_Claims_Data_Min_Year, G$77&gt;Medicaid_Claims_Data_Max_Year, D79="N/A"),"",IF(AND(F$77&gt;G$77,E$77="x"), "Invalid year(s) entered. Check the Start Year and End Year values.", IF(F$77&gt;MAX_LT_Max_Year,"", IF(G$77&gt;=MAX_LT_Max_Year, MAX_LT_Max_Year, G$77))))</f>
        <v/>
      </c>
      <c r="H79" s="122" t="str">
        <f t="shared" ref="H79:H81" si="6">IF(E79="x",IF(H$77="Select an Encryption Level","",H$77),"")</f>
        <v/>
      </c>
      <c r="I79" s="123" t="str">
        <f t="shared" ref="I79:I81" si="7">IF(E79="x",IF(I$77=0,"",I$77),"")</f>
        <v/>
      </c>
      <c r="J79" s="132"/>
    </row>
    <row r="80" spans="1:10" ht="128.25" customHeight="1" x14ac:dyDescent="0.3">
      <c r="A80" s="96"/>
      <c r="B80" s="115" t="s">
        <v>245</v>
      </c>
      <c r="C80" s="115" t="s">
        <v>276</v>
      </c>
      <c r="D80" s="117" t="str">
        <f>IF(MAX_OT_Min_Year="N/A","N/A",IF(MAX_OT_Max_Year=0,MAX_OT_Min_Year, CONCATENATE(MAX_OT_Min_Year," - ",MAX_OT_Max_Year)))</f>
        <v>In the Research Project Info tab, select a NIA Study Institute partner to access data year availability information.</v>
      </c>
      <c r="E80" s="121" t="str">
        <f>IF(OR(E$77="Select X to Request All Files in Category", F$77="Enter Start Year", G$77="Enter End Year", F$77&lt;Medicaid_Claims_Data_Min_Year, F$77&gt;Medicaid_Claims_Data_Max_Year, G$77&lt;Medicaid_Claims_Data_Min_Year, G$77&gt;Medicaid_Claims_Data_Max_Year, F$77&gt;G$77, D$80="N/A"),"",IF(F$77&gt;MAX_OT_Max_Year,"",E$77))</f>
        <v/>
      </c>
      <c r="F80" s="122" t="str">
        <f>IF(OR(E$77="Select X to Request All Files in Category", F$77="Enter Start Year", G$77="Enter End Year", F$77&lt;Medicaid_Claims_Data_Min_Year, F$77&gt;Medicaid_Claims_Data_Max_Year, G$77&lt;Medicaid_Claims_Data_Min_Year, G$77&gt;Medicaid_Claims_Data_Max_Year, D80="N/A"),"",IF(AND(F$77&gt;G$77,E$77="x"),"Invalid year(s) entered. Check the Start Year and End Year values.", IF(F$77&gt;MAX_OT_Max_Year, "", F$77)))</f>
        <v/>
      </c>
      <c r="G80" s="122" t="str">
        <f>IF(OR(E$77="Select X to Request All Files in Category", F$77="Enter Start Year", G$77="Enter End Year", F$77&lt;Medicaid_Claims_Data_Min_Year, F$77&gt;Medicaid_Claims_Data_Max_Year, G$77&lt;Medicaid_Claims_Data_Min_Year, G$77&gt;Medicaid_Claims_Data_Max_Year, D80="N/A"),"",IF(AND(F$77&gt;G$77,E$77="x"), "Invalid year(s) entered. Check the Start Year and End Year values.", IF(F$77&gt;MAX_OT_Max_Year,"", IF(G$77&gt;=MAX_OT_Max_Year, MAX_OT_Max_Year, G$77))))</f>
        <v/>
      </c>
      <c r="H80" s="122" t="str">
        <f t="shared" si="6"/>
        <v/>
      </c>
      <c r="I80" s="123" t="str">
        <f t="shared" si="7"/>
        <v/>
      </c>
      <c r="J80" s="132"/>
    </row>
    <row r="81" spans="1:10" ht="128.25" customHeight="1" x14ac:dyDescent="0.3">
      <c r="A81" s="96"/>
      <c r="B81" s="115" t="s">
        <v>248</v>
      </c>
      <c r="C81" s="115" t="s">
        <v>249</v>
      </c>
      <c r="D81" s="117" t="str">
        <f>IF(MAX_RX_Min_Year="N/A","N/A",IF(MAX_RX_Max_Year=0,MAX_RX_Min_Year, CONCATENATE(MAX_RX_Min_Year," - ",MAX_RX_Max_Year)))</f>
        <v>In the Research Project Info tab, select a NIA Study Institute partner to access data year availability information.</v>
      </c>
      <c r="E81" s="121" t="str">
        <f>IF(OR(E$77="Select X to Request All Files in Category", F$77="Enter Start Year", G$77="Enter End Year", F$77&lt;Medicaid_Claims_Data_Min_Year, F$77&gt;Medicaid_Claims_Data_Max_Year, G$77&lt;Medicaid_Claims_Data_Min_Year, G$77&gt;Medicaid_Claims_Data_Max_Year, F$77&gt;G$77, D$81="N/A"),"",IF(F$77&gt;MAX_RX_Max_Year,"",E$77))</f>
        <v/>
      </c>
      <c r="F81" s="122" t="str">
        <f>IF(OR(E$77="Select X to Request All Files in Category", F$77="Enter Start Year", G$77="Enter End Year", F$77&lt;Medicaid_Claims_Data_Min_Year, F$77&gt;Medicaid_Claims_Data_Max_Year, G$77&lt;Medicaid_Claims_Data_Min_Year, G$77&gt;Medicaid_Claims_Data_Max_Year, D81="N/A"),"",IF(AND(F$77&gt;G$77,E$77="x"),"Invalid year(s) entered. Check the Start Year and End Year values.", IF(F$77&gt;MAX_RX_Max_Year, "", F$77)))</f>
        <v/>
      </c>
      <c r="G81" s="122" t="str">
        <f>IF(OR(E$77="Select X to Request All Files in Category", F$77="Enter Start Year", G$77="Enter End Year", F$77&lt;Medicaid_Claims_Data_Min_Year, F$77&gt;Medicaid_Claims_Data_Max_Year, G$77&lt;Medicaid_Claims_Data_Min_Year, G$77&gt;Medicaid_Claims_Data_Max_Year, D81="N/A"),"",IF(AND(F$77&gt;G$77,E$77="x"), "Invalid year(s) entered. Check the Start Year and End Year values.", IF(F$77&gt;MAX_RX_Max_Year,"", IF(G$77&gt;=MAX_RX_Max_Year, MAX_RX_Max_Year, G$77))))</f>
        <v/>
      </c>
      <c r="H81" s="122" t="str">
        <f t="shared" si="6"/>
        <v/>
      </c>
      <c r="I81" s="123" t="str">
        <f t="shared" si="7"/>
        <v/>
      </c>
      <c r="J81" s="132"/>
    </row>
    <row r="82" spans="1:10" ht="128.25" customHeight="1" x14ac:dyDescent="0.3">
      <c r="A82" s="96"/>
      <c r="B82" s="115" t="s">
        <v>268</v>
      </c>
      <c r="C82" s="115" t="s">
        <v>584</v>
      </c>
      <c r="D82" s="117" t="str">
        <f>IF(TMSIS_IP_Min_Year="N/A","N/A",IF(TMSIS_IP_Max_Year=0, TMSIS_IP_Min_Year, CONCATENATE(TMSIS_IP_Min_Year," - ",TMSIS_IP_Max_Year)))</f>
        <v>In the Research Project Info tab, select a NIA Study Institute partner to access data year availability information.</v>
      </c>
      <c r="E82" s="121" t="str">
        <f>IF(OR(E$77="Select X to Request All Files in Category", F$77="Enter Start Year", G$77="Enter End Year", F$77&lt;Medicaid_Claims_Data_Min_Year, F$77&gt;Medicaid_Claims_Data_Max_Year, G$77&lt;Medicaid_Claims_Data_Min_Year, G$77&gt;Medicaid_Enrollment_Data_Max_Year, F$77&gt;G$77, D82="N/A"),"",IF(G$77&lt;TMSIS_IP_Min_Year, "", E$77))</f>
        <v/>
      </c>
      <c r="F82" s="122" t="str">
        <f>IF(OR(E$77="Select X to Request All Files in Category", F$77="Enter Start Year", G$77="Enter End Year", F$77&lt;Medicaid_Claims_Data_Min_Year, F$77&gt;Medicaid_Claims_Data_Max_Year, G$77&lt;Medicaid_Claims_Data_Min_Year, G$77&gt;Medicaid_Claims_Data_Max_Year, D82="N/A"),"", IF(AND(F$77&gt;G$77,E$77="x"), "Invalid year(s) entered. Check the Start Year and End Year values.", IF(G$77&lt;TMSIS_IP_Min_Year,"", IF(F$77&lt;TMSIS_IP_Min_Year, TMSIS_IP_Min_Year, F$77))))</f>
        <v/>
      </c>
      <c r="G82" s="122" t="str">
        <f>IF(OR(E$77="Select X to Request All Files in Category", F$77="Enter Start Year", G$77="Enter End Year", F$77&lt;Medicaid_Claims_Data_Min_Year, F$77&gt;Medicaid_Claims_Data_Max_Year, G$77&lt;Medicaid_Claims_Data_Min_Year, G$77&gt;Medicaid_Claims_Data_Max_Year, D82="N/A"),"", IF(AND(F$77&gt;G$77,E$77="x"), "Invalid year(s) entered. Check the Start Year and End Year values.", IF(G$77&lt;TMSIS_IP_Min_Year,"", G$77)))</f>
        <v/>
      </c>
      <c r="H82" s="122" t="str">
        <f t="shared" ref="H82:H85" si="8">IF(E82="x",IF(H$77="Select an Encryption Level","",H$77),"")</f>
        <v/>
      </c>
      <c r="I82" s="123" t="str">
        <f t="shared" ref="I82:I85" si="9">IF(E82="x",IF(I$77=0,"",I$77),"")</f>
        <v/>
      </c>
      <c r="J82" s="132"/>
    </row>
    <row r="83" spans="1:10" ht="128.25" customHeight="1" x14ac:dyDescent="0.3">
      <c r="A83" s="96"/>
      <c r="B83" s="115" t="s">
        <v>269</v>
      </c>
      <c r="C83" s="115" t="s">
        <v>585</v>
      </c>
      <c r="D83" s="117" t="str">
        <f>IF(TMSIS_LT_Min_Year="N/A","N/A",IF(TMSIS_LT_Max_Year=0, TMSIS_LT_Min_Year, CONCATENATE(TMSIS_LT_Min_Year," - ",TMSIS_LT_Max_Year)))</f>
        <v>In the Research Project Info tab, select a NIA Study Institute partner to access data year availability information.</v>
      </c>
      <c r="E83" s="121" t="str">
        <f>IF(OR(E$77="Select X to Request All Files in Category", F$77="Enter Start Year", G$77="Enter End Year", F$77&lt;Medicaid_Claims_Data_Min_Year, F$77&gt;Medicaid_Claims_Data_Max_Year, G$77&lt;Medicaid_Claims_Data_Min_Year, G$77&gt;Medicaid_Enrollment_Data_Max_Year, F$77&gt;G$77, D83="N/A"),"",IF(G$77&lt;TMSIS_IP_Min_Year, "", E$77))</f>
        <v/>
      </c>
      <c r="F83" s="122" t="str">
        <f>IF(OR(E$77="Select X to Request All Files in Category", F$77="Enter Start Year", G$77="Enter End Year", F$77&lt;Medicaid_Claims_Data_Min_Year, F$77&gt;Medicaid_Claims_Data_Max_Year, G$77&lt;Medicaid_Claims_Data_Min_Year, G$77&gt;Medicaid_Claims_Data_Max_Year, D83="N/A"),"", IF(AND(F$77&gt;G$77,E$77="x"), "Invalid year(s) entered. Check the Start Year and End Year values.", IF(G$77&lt;TMSIS_IP_Min_Year,"", IF(F$77&lt;TMSIS_IP_Min_Year, TMSIS_IP_Min_Year, F$77))))</f>
        <v/>
      </c>
      <c r="G83" s="122" t="str">
        <f>IF(OR(E$77="Select X to Request All Files in Category", F$77="Enter Start Year", G$77="Enter End Year", F$77&lt;Medicaid_Claims_Data_Min_Year, F$77&gt;Medicaid_Claims_Data_Max_Year, G$77&lt;Medicaid_Claims_Data_Min_Year, G$77&gt;Medicaid_Claims_Data_Max_Year, D83="N/A"),"", IF(AND(F$77&gt;G$77,E$77="x"), "Invalid year(s) entered. Check the Start Year and End Year values.", IF(G$77&lt;TMSIS_IP_Min_Year,"", G$77)))</f>
        <v/>
      </c>
      <c r="H83" s="122" t="str">
        <f t="shared" si="8"/>
        <v/>
      </c>
      <c r="I83" s="123" t="str">
        <f t="shared" si="9"/>
        <v/>
      </c>
      <c r="J83" s="132"/>
    </row>
    <row r="84" spans="1:10" ht="128.25" customHeight="1" x14ac:dyDescent="0.3">
      <c r="A84" s="96"/>
      <c r="B84" s="115" t="s">
        <v>270</v>
      </c>
      <c r="C84" s="115" t="s">
        <v>586</v>
      </c>
      <c r="D84" s="117" t="str">
        <f>IF(TMSIS_OT_Min_Year="N/A","N/A",IF(TMSIS_OT_Max_Year=0, TMSIS_OT_Min_Year, CONCATENATE(TMSIS_OT_Min_Year," - ",TMSIS_OT_Max_Year)))</f>
        <v>In the Research Project Info tab, select a NIA Study Institute partner to access data year availability information.</v>
      </c>
      <c r="E84" s="121" t="str">
        <f>IF(OR(E$77="Select X to Request All Files in Category", F$77="Enter Start Year", G$77="Enter End Year", F$77&lt;Medicaid_Claims_Data_Min_Year, F$77&gt;Medicaid_Claims_Data_Max_Year, G$77&lt;Medicaid_Claims_Data_Min_Year, G$77&gt;Medicaid_Enrollment_Data_Max_Year, F$77&gt;G$77, D84="N/A"),"",IF(G$77&lt;TMSIS_IP_Min_Year, "", E$77))</f>
        <v/>
      </c>
      <c r="F84" s="122" t="str">
        <f>IF(OR(E$77="Select X to Request All Files in Category", F$77="Enter Start Year", G$77="Enter End Year", F$77&lt;Medicaid_Claims_Data_Min_Year, F$77&gt;Medicaid_Claims_Data_Max_Year, G$77&lt;Medicaid_Claims_Data_Min_Year, G$77&gt;Medicaid_Claims_Data_Max_Year, D84="N/A"),"", IF(AND(F$77&gt;G$77,E$77="x"), "Invalid year(s) entered. Check the Start Year and End Year values.", IF(G$77&lt;TMSIS_IP_Min_Year,"", IF(F$77&lt;TMSIS_IP_Min_Year, TMSIS_IP_Min_Year, F$77))))</f>
        <v/>
      </c>
      <c r="G84" s="122" t="str">
        <f>IF(OR(E$77="Select X to Request All Files in Category", F$77="Enter Start Year", G$77="Enter End Year", F$77&lt;Medicaid_Claims_Data_Min_Year, F$77&gt;Medicaid_Claims_Data_Max_Year, G$77&lt;Medicaid_Claims_Data_Min_Year, G$77&gt;Medicaid_Claims_Data_Max_Year, D84="N/A"),"", IF(AND(F$77&gt;G$77,E$77="x"), "Invalid year(s) entered. Check the Start Year and End Year values.", IF(G$77&lt;TMSIS_IP_Min_Year,"", G$77)))</f>
        <v/>
      </c>
      <c r="H84" s="122" t="str">
        <f t="shared" si="8"/>
        <v/>
      </c>
      <c r="I84" s="123" t="str">
        <f t="shared" si="9"/>
        <v/>
      </c>
      <c r="J84" s="132"/>
    </row>
    <row r="85" spans="1:10" ht="128.25" customHeight="1" x14ac:dyDescent="0.3">
      <c r="A85" s="96"/>
      <c r="B85" s="115" t="s">
        <v>271</v>
      </c>
      <c r="C85" s="115" t="s">
        <v>587</v>
      </c>
      <c r="D85" s="117" t="str">
        <f>IF(TMSIS_RX_Min_Year="N/A","N/A",IF(TMSIS_RX_Max_Year=0, TMSIS_RX_Min_Year, CONCATENATE(TMSIS_RX_Min_Year," - ",TMSIS_RX_Max_Year)))</f>
        <v>In the Research Project Info tab, select a NIA Study Institute partner to access data year availability information.</v>
      </c>
      <c r="E85" s="121" t="str">
        <f>IF(OR(E$77="Select X to Request All Files in Category", F$77="Enter Start Year", G$77="Enter End Year", F$77&lt;Medicaid_Claims_Data_Min_Year, F$77&gt;Medicaid_Claims_Data_Max_Year, G$77&lt;Medicaid_Claims_Data_Min_Year, G$77&gt;Medicaid_Enrollment_Data_Max_Year, F$77&gt;G$77, D85="N/A"),"",IF(G$77&lt;TMSIS_IP_Min_Year, "", E$77))</f>
        <v/>
      </c>
      <c r="F85" s="122" t="str">
        <f>IF(OR(E$77="Select X to Request All Files in Category", F$77="Enter Start Year", G$77="Enter End Year", F$77&lt;Medicaid_Claims_Data_Min_Year, F$77&gt;Medicaid_Claims_Data_Max_Year, G$77&lt;Medicaid_Claims_Data_Min_Year, G$77&gt;Medicaid_Claims_Data_Max_Year, D85="N/A"),"", IF(AND(F$77&gt;G$77,E$77="x"), "Invalid year(s) entered. Check the Start Year and End Year values.", IF(G$77&lt;TMSIS_IP_Min_Year,"", IF(F$77&lt;TMSIS_IP_Min_Year, TMSIS_IP_Min_Year, F$77))))</f>
        <v/>
      </c>
      <c r="G85" s="122" t="str">
        <f>IF(OR(E$77="Select X to Request All Files in Category", F$77="Enter Start Year", G$77="Enter End Year", F$77&lt;Medicaid_Claims_Data_Min_Year, F$77&gt;Medicaid_Claims_Data_Max_Year, G$77&lt;Medicaid_Claims_Data_Min_Year, G$77&gt;Medicaid_Claims_Data_Max_Year, D85="N/A"),"", IF(AND(F$77&gt;G$77,E$77="x"), "Invalid year(s) entered. Check the Start Year and End Year values.", IF(G$77&lt;TMSIS_IP_Min_Year,"", G$77)))</f>
        <v/>
      </c>
      <c r="H85" s="122" t="str">
        <f t="shared" si="8"/>
        <v/>
      </c>
      <c r="I85" s="123" t="str">
        <f t="shared" si="9"/>
        <v/>
      </c>
      <c r="J85" s="132"/>
    </row>
    <row r="86" spans="1:10" ht="55.35" customHeight="1" x14ac:dyDescent="0.3">
      <c r="A86" s="96"/>
      <c r="B86" s="140" t="s">
        <v>231</v>
      </c>
      <c r="C86" s="97"/>
      <c r="D86" s="97"/>
      <c r="E86" s="98"/>
      <c r="F86" s="98"/>
      <c r="G86" s="98"/>
      <c r="H86" s="97"/>
      <c r="I86" s="97"/>
      <c r="J86" s="96"/>
    </row>
    <row r="87" spans="1:10" ht="22.5" customHeight="1" x14ac:dyDescent="0.3">
      <c r="A87" s="96"/>
      <c r="B87" s="99" t="s">
        <v>688</v>
      </c>
      <c r="C87" s="141"/>
      <c r="D87" s="141"/>
      <c r="E87" s="141"/>
      <c r="F87" s="141"/>
      <c r="G87" s="141"/>
      <c r="H87" s="141"/>
      <c r="I87" s="142"/>
      <c r="J87" s="96"/>
    </row>
    <row r="88" spans="1:10" ht="43.15" customHeight="1" x14ac:dyDescent="0.3">
      <c r="A88" s="96"/>
      <c r="B88" s="338" t="s">
        <v>781</v>
      </c>
      <c r="C88" s="340"/>
      <c r="D88" s="340"/>
      <c r="E88" s="340"/>
      <c r="F88" s="340"/>
      <c r="G88" s="340"/>
      <c r="H88" s="143"/>
      <c r="I88" s="144"/>
      <c r="J88" s="96"/>
    </row>
    <row r="89" spans="1:10" ht="43.15" customHeight="1" thickBot="1" x14ac:dyDescent="0.35">
      <c r="A89" s="96"/>
      <c r="B89" s="341" t="s">
        <v>782</v>
      </c>
      <c r="C89" s="340"/>
      <c r="D89" s="340"/>
      <c r="E89" s="340"/>
      <c r="F89" s="340"/>
      <c r="G89" s="340"/>
      <c r="H89" s="143"/>
      <c r="I89" s="143"/>
      <c r="J89" s="96"/>
    </row>
    <row r="90" spans="1:10" ht="80.099999999999994" customHeight="1" thickBot="1" x14ac:dyDescent="0.35">
      <c r="A90" s="96"/>
      <c r="B90" s="105" t="s">
        <v>82</v>
      </c>
      <c r="C90" s="106" t="s">
        <v>154</v>
      </c>
      <c r="D90" s="107" t="s">
        <v>22</v>
      </c>
      <c r="E90" s="108" t="s">
        <v>820</v>
      </c>
      <c r="F90" s="109" t="s">
        <v>306</v>
      </c>
      <c r="G90" s="109" t="s">
        <v>307</v>
      </c>
      <c r="H90" s="109" t="s">
        <v>308</v>
      </c>
      <c r="I90" s="110" t="s">
        <v>755</v>
      </c>
      <c r="J90" s="96"/>
    </row>
    <row r="91" spans="1:10" ht="99.95" customHeight="1" thickBot="1" x14ac:dyDescent="0.35">
      <c r="A91" s="145"/>
      <c r="B91" s="112"/>
      <c r="C91" s="113"/>
      <c r="D91" s="114"/>
      <c r="E91" s="284" t="s">
        <v>287</v>
      </c>
      <c r="F91" s="284" t="s">
        <v>403</v>
      </c>
      <c r="G91" s="284" t="s">
        <v>404</v>
      </c>
      <c r="H91" s="284" t="s">
        <v>296</v>
      </c>
      <c r="I91" s="285"/>
      <c r="J91" s="96"/>
    </row>
    <row r="92" spans="1:10" ht="128.1" customHeight="1" x14ac:dyDescent="0.3">
      <c r="A92" s="145"/>
      <c r="B92" s="115" t="s">
        <v>687</v>
      </c>
      <c r="C92" s="115" t="s">
        <v>689</v>
      </c>
      <c r="D92" s="117" t="str">
        <f>IF(HEDIS_Min_Year="N/A","N/A",IF(HEDIS_Max_Year=0,HEDIS_Min_Year, CONCATENATE(HEDIS_Min_Year," - ",HEDIS_Max_Year)))</f>
        <v>In the Research Project Info tab, select a NIA Study Institute partner to access data year availability information.</v>
      </c>
      <c r="E92" s="122" t="str">
        <f>IF(OR(E$91="Select X to Request All Files in Category",F$91="Enter Start Year", G91="Enter End Year",F$91&gt;G$91,F$91&lt;HEDIS_Min_Year,F$91&gt;HEDIS_Max_Year,G$91&lt;HEDIS_Min_Year,G$91&gt;HEDIS_Max_Year, D92="N/A"),"",E$91)</f>
        <v/>
      </c>
      <c r="F92" s="122" t="str">
        <f>IF(OR(E$91="Select X to Request All Files in Category",F$91="Enter Start Year",G$91="Enter End Year", F$91&lt;HEDIS_Min_Year,F$91&gt;HEDIS_Max_Year,G$91&lt;HEDIS_Min_Year,G$91&gt;HEDIS_Max_Year, D92="N/A"),"",IF(F$91&gt;G$91,"Invalid year selections. Check the Start Year and End Year values",F$91))</f>
        <v/>
      </c>
      <c r="G92" s="122" t="str">
        <f>IF(OR(E$91="Select X to Request All Files in Category",F$91="Enter Start Year",G$91="Enter End Year",F$91&lt;HEDIS_Min_Year,F$91&gt;HEDIS_Max_Year,G$91&lt;HEDIS_Min_Year,G$91&gt;HEDIS_Max_Year, D92="N/A"),"",IF(F$91&gt;G$91,"Invalid year selections. Check the Start Year and End Year values",G$91))</f>
        <v/>
      </c>
      <c r="H92" s="146" t="str">
        <f>IF(E92="x",IF(H$91="Select an Encryption Level","",H$91),"")</f>
        <v/>
      </c>
      <c r="I92" s="147" t="str">
        <f>IF(E92="x",IF(I$91=0,"",I$91),"")</f>
        <v/>
      </c>
      <c r="J92" s="96"/>
    </row>
    <row r="93" spans="1:10" ht="55.35" customHeight="1" x14ac:dyDescent="0.3">
      <c r="A93" s="96"/>
      <c r="B93" s="140" t="s">
        <v>231</v>
      </c>
      <c r="C93" s="148"/>
      <c r="D93" s="148"/>
      <c r="E93" s="148"/>
      <c r="F93" s="148"/>
      <c r="G93" s="148"/>
      <c r="H93" s="148"/>
      <c r="I93" s="148"/>
      <c r="J93" s="96"/>
    </row>
    <row r="94" spans="1:10" ht="22.5" customHeight="1" x14ac:dyDescent="0.3">
      <c r="A94" s="96"/>
      <c r="B94" s="149" t="s">
        <v>650</v>
      </c>
      <c r="C94" s="141"/>
      <c r="D94" s="141"/>
      <c r="E94" s="141"/>
      <c r="F94" s="141"/>
      <c r="G94" s="141"/>
      <c r="H94" s="141"/>
      <c r="I94" s="142"/>
      <c r="J94" s="96"/>
    </row>
    <row r="95" spans="1:10" ht="43.15" customHeight="1" thickBot="1" x14ac:dyDescent="0.35">
      <c r="A95" s="96"/>
      <c r="B95" s="338" t="s">
        <v>658</v>
      </c>
      <c r="C95" s="340"/>
      <c r="D95" s="340"/>
      <c r="E95" s="340"/>
      <c r="F95" s="340"/>
      <c r="G95" s="340"/>
      <c r="H95" s="143"/>
      <c r="I95" s="144"/>
      <c r="J95" s="96"/>
    </row>
    <row r="96" spans="1:10" ht="80.099999999999994" customHeight="1" thickBot="1" x14ac:dyDescent="0.35">
      <c r="A96" s="96"/>
      <c r="B96" s="105" t="s">
        <v>82</v>
      </c>
      <c r="C96" s="106" t="s">
        <v>154</v>
      </c>
      <c r="D96" s="107" t="s">
        <v>22</v>
      </c>
      <c r="E96" s="108" t="s">
        <v>819</v>
      </c>
      <c r="F96" s="109" t="s">
        <v>306</v>
      </c>
      <c r="G96" s="109" t="s">
        <v>307</v>
      </c>
      <c r="H96" s="109" t="s">
        <v>308</v>
      </c>
      <c r="I96" s="110" t="s">
        <v>755</v>
      </c>
      <c r="J96" s="96"/>
    </row>
    <row r="97" spans="1:10" ht="99.95" customHeight="1" thickBot="1" x14ac:dyDescent="0.35">
      <c r="A97" s="145"/>
      <c r="B97" s="112"/>
      <c r="C97" s="113"/>
      <c r="D97" s="114"/>
      <c r="E97" s="284" t="s">
        <v>287</v>
      </c>
      <c r="F97" s="284" t="s">
        <v>403</v>
      </c>
      <c r="G97" s="284" t="s">
        <v>404</v>
      </c>
      <c r="H97" s="284" t="s">
        <v>296</v>
      </c>
      <c r="I97" s="285"/>
      <c r="J97" s="96"/>
    </row>
    <row r="98" spans="1:10" ht="128.1" customHeight="1" x14ac:dyDescent="0.3">
      <c r="A98" s="145"/>
      <c r="B98" s="115" t="s">
        <v>121</v>
      </c>
      <c r="C98" s="115" t="s">
        <v>634</v>
      </c>
      <c r="D98" s="117" t="str">
        <f>IF(IRF_PAI_Min_Year="N/A","N/A",IF(IRF_PAI_Max_Year=0,IRF_PAI_Min_Year, CONCATENATE(IRF_PAI_Min_Year," - ",IRF_PAI_Max_Year)))</f>
        <v>In the Research Project Info tab, select a NIA Study Institute partner to access data year availability information.</v>
      </c>
      <c r="E98" s="122" t="str">
        <f>IF(OR(E$97="Select X to Request All Files in Category",F$97="Enter Start Year", G97="Enter End Year",F$97&gt;G$97,F$97&lt;IRF_PAI_Min_Year,F$97&gt;IRF_PAI_Max_Year,G$97&lt;IRF_PAI_Min_Year,G$97&gt;IRF_PAI_Max_Year, D98="N/A"),"",E$97)</f>
        <v/>
      </c>
      <c r="F98" s="122" t="str">
        <f>IF(OR(E$97="Select X to Request All Files in Category",F$97="Enter Start Year",G$97="Enter End Year", F$97&lt;IRF_PAI_Min_Year,F$97&gt;IRF_PAI_Max_Year,G$97&lt;IRF_PAI_Min_Year,G$97&gt;IRF_PAI_Max_Year, D98="N/A"),"",IF(F$97&gt;G$97,"Invalid year selections. Check the Start Year and End Year values",F$97))</f>
        <v/>
      </c>
      <c r="G98" s="122" t="str">
        <f>IF(OR(E$97="Select X to Request All Files in Category",F$97="Enter Start Year",G$97="Enter End Year",F$97&lt;IRF_PAI_Min_Year,F$97&gt;IRF_PAI_Max_Year,G$97&lt;IRF_PAI_Min_Year,G$97&gt;IRF_PAI_Max_Year, D98="N/A"),"",IF(F$97&gt;G$97,"Invalid year selections. Check the Start Year and End Year values",G$97))</f>
        <v/>
      </c>
      <c r="H98" s="146" t="str">
        <f>IF(E98="x",IF(H$97="Select an Encryption Level","",H$97),"")</f>
        <v/>
      </c>
      <c r="I98" s="147" t="str">
        <f>IF(E98="x",IF(I$97=0,"",I$97),"")</f>
        <v/>
      </c>
      <c r="J98" s="96"/>
    </row>
    <row r="99" spans="1:10" ht="55.35" customHeight="1" x14ac:dyDescent="0.3">
      <c r="A99" s="96"/>
      <c r="B99" s="140" t="s">
        <v>231</v>
      </c>
      <c r="C99" s="148"/>
      <c r="D99" s="148"/>
      <c r="E99" s="148"/>
      <c r="F99" s="148"/>
      <c r="G99" s="148"/>
      <c r="H99" s="148"/>
      <c r="I99" s="148"/>
      <c r="J99" s="96"/>
    </row>
    <row r="100" spans="1:10" ht="22.5" customHeight="1" x14ac:dyDescent="0.3">
      <c r="A100" s="96"/>
      <c r="B100" s="149" t="s">
        <v>651</v>
      </c>
      <c r="C100" s="141"/>
      <c r="D100" s="141"/>
      <c r="E100" s="141"/>
      <c r="F100" s="141"/>
      <c r="G100" s="141"/>
      <c r="H100" s="141"/>
      <c r="I100" s="142"/>
      <c r="J100" s="96"/>
    </row>
    <row r="101" spans="1:10" ht="39.6" customHeight="1" thickBot="1" x14ac:dyDescent="0.35">
      <c r="A101" s="96"/>
      <c r="B101" s="338" t="s">
        <v>659</v>
      </c>
      <c r="C101" s="340"/>
      <c r="D101" s="340"/>
      <c r="E101" s="340"/>
      <c r="F101" s="340"/>
      <c r="G101" s="340"/>
      <c r="H101" s="143"/>
      <c r="I101" s="144"/>
      <c r="J101" s="96"/>
    </row>
    <row r="102" spans="1:10" ht="80.099999999999994" customHeight="1" thickBot="1" x14ac:dyDescent="0.35">
      <c r="A102" s="96"/>
      <c r="B102" s="105" t="s">
        <v>82</v>
      </c>
      <c r="C102" s="106" t="s">
        <v>154</v>
      </c>
      <c r="D102" s="107" t="s">
        <v>22</v>
      </c>
      <c r="E102" s="108" t="s">
        <v>821</v>
      </c>
      <c r="F102" s="109" t="s">
        <v>306</v>
      </c>
      <c r="G102" s="109" t="s">
        <v>307</v>
      </c>
      <c r="H102" s="109" t="s">
        <v>308</v>
      </c>
      <c r="I102" s="110" t="s">
        <v>756</v>
      </c>
      <c r="J102" s="96"/>
    </row>
    <row r="103" spans="1:10" ht="99.95" customHeight="1" thickBot="1" x14ac:dyDescent="0.35">
      <c r="A103" s="145"/>
      <c r="B103" s="112"/>
      <c r="C103" s="113"/>
      <c r="D103" s="114"/>
      <c r="E103" s="284" t="s">
        <v>287</v>
      </c>
      <c r="F103" s="284" t="s">
        <v>403</v>
      </c>
      <c r="G103" s="284" t="s">
        <v>404</v>
      </c>
      <c r="H103" s="284" t="s">
        <v>296</v>
      </c>
      <c r="I103" s="285"/>
      <c r="J103" s="96"/>
    </row>
    <row r="104" spans="1:10" ht="128.1" customHeight="1" x14ac:dyDescent="0.3">
      <c r="A104" s="145"/>
      <c r="B104" s="115" t="s">
        <v>635</v>
      </c>
      <c r="C104" s="115" t="s">
        <v>645</v>
      </c>
      <c r="D104" s="117" t="str">
        <f>IF(MDS_Min_Year="N/A","N/A",IF(MDS_Max_Year=0,MDS_Min_Year, CONCATENATE(MDS_Min_Year," - ",MDS_Max_Year)))</f>
        <v>In the Research Project Info tab, select a NIA Study Institute partner to access data year availability information.</v>
      </c>
      <c r="E104" s="122" t="str">
        <f>IF(OR(E$103="Select X to Request All Files in Category",F$103="Enter Start Year", G103="Enter End Year",F$103&gt;G$103,F$103&lt;MDS_Min_Year,F$103&gt;MDS_Max_Year,G$103&lt;MDS_Min_Year,G$103&gt;MDS_Max_Year, D104="N/A"),"",E$103)</f>
        <v/>
      </c>
      <c r="F104" s="122" t="str">
        <f>IF(OR(E$103="Select X to Request All Files in Category",F$103="Enter Start Year",G$103="Enter End Year", F$103&lt;MDS_Min_Year,F$103&gt;MDS_Max_Year,G$103&lt;MDS_Min_Year,G$103&gt;MDS_Max_Year, D104="N/A"),"",IF(F$103&gt;G$103,"Invalid year selections. Check the Start Year and End Year values",F$103))</f>
        <v/>
      </c>
      <c r="G104" s="122" t="str">
        <f>IF(OR(E$103="Select X to Request All Files in Category",F$103="Enter Start Year",G$103="Enter End Year",F$103&lt;MDS_Min_Year,F$103&gt;MDS_Max_Year,G$103&lt;MDS_Min_Year,G$103&gt;MDS_Max_Year, D104="N/A"),"",IF(F$103&gt;G$103,"Invalid year selections. Check the Start Year and End Year values",G$103))</f>
        <v/>
      </c>
      <c r="H104" s="146" t="str">
        <f>IF(E104="x",IF(H$103="Select an Encryption Level","",H$103),"")</f>
        <v/>
      </c>
      <c r="I104" s="147" t="str">
        <f>IF(E104="x",IF(I$103=0,"",I$103),"")</f>
        <v/>
      </c>
      <c r="J104" s="96"/>
    </row>
    <row r="105" spans="1:10" ht="55.35" customHeight="1" x14ac:dyDescent="0.3">
      <c r="A105" s="96"/>
      <c r="B105" s="140" t="s">
        <v>231</v>
      </c>
      <c r="C105" s="148"/>
      <c r="D105" s="148"/>
      <c r="E105" s="148"/>
      <c r="F105" s="148"/>
      <c r="G105" s="148"/>
      <c r="H105" s="148"/>
      <c r="I105" s="148"/>
      <c r="J105" s="96"/>
    </row>
    <row r="106" spans="1:10" ht="22.5" customHeight="1" x14ac:dyDescent="0.3">
      <c r="A106" s="96"/>
      <c r="B106" s="149" t="s">
        <v>652</v>
      </c>
      <c r="C106" s="141"/>
      <c r="D106" s="141"/>
      <c r="E106" s="141"/>
      <c r="F106" s="141"/>
      <c r="G106" s="141"/>
      <c r="H106" s="141"/>
      <c r="I106" s="142"/>
      <c r="J106" s="96"/>
    </row>
    <row r="107" spans="1:10" ht="34.15" customHeight="1" thickBot="1" x14ac:dyDescent="0.35">
      <c r="A107" s="96"/>
      <c r="B107" s="338" t="s">
        <v>660</v>
      </c>
      <c r="C107" s="340"/>
      <c r="D107" s="340"/>
      <c r="E107" s="340"/>
      <c r="F107" s="340"/>
      <c r="G107" s="340"/>
      <c r="H107" s="143"/>
      <c r="I107" s="144"/>
      <c r="J107" s="96"/>
    </row>
    <row r="108" spans="1:10" ht="80.099999999999994" customHeight="1" thickBot="1" x14ac:dyDescent="0.35">
      <c r="A108" s="96"/>
      <c r="B108" s="105" t="s">
        <v>82</v>
      </c>
      <c r="C108" s="106" t="s">
        <v>154</v>
      </c>
      <c r="D108" s="107" t="s">
        <v>22</v>
      </c>
      <c r="E108" s="108" t="s">
        <v>818</v>
      </c>
      <c r="F108" s="109" t="s">
        <v>306</v>
      </c>
      <c r="G108" s="109" t="s">
        <v>307</v>
      </c>
      <c r="H108" s="109" t="s">
        <v>308</v>
      </c>
      <c r="I108" s="110" t="s">
        <v>757</v>
      </c>
      <c r="J108" s="96"/>
    </row>
    <row r="109" spans="1:10" ht="99.95" customHeight="1" thickBot="1" x14ac:dyDescent="0.35">
      <c r="A109" s="145"/>
      <c r="B109" s="112"/>
      <c r="C109" s="113"/>
      <c r="D109" s="114"/>
      <c r="E109" s="284" t="s">
        <v>287</v>
      </c>
      <c r="F109" s="284" t="s">
        <v>403</v>
      </c>
      <c r="G109" s="284" t="s">
        <v>404</v>
      </c>
      <c r="H109" s="284" t="s">
        <v>296</v>
      </c>
      <c r="I109" s="285"/>
      <c r="J109" s="96"/>
    </row>
    <row r="110" spans="1:10" ht="128.1" customHeight="1" x14ac:dyDescent="0.3">
      <c r="A110" s="145"/>
      <c r="B110" s="115" t="s">
        <v>241</v>
      </c>
      <c r="C110" s="115" t="s">
        <v>646</v>
      </c>
      <c r="D110" s="117" t="str">
        <f>IF(OASIS_Min_Year="N/A","N/A",IF(OASIS_Max_Year=0,OASIS_Min_Year, CONCATENATE(OASIS_Min_Year," - ",OASIS_Max_Year)))</f>
        <v>In the Research Project Info tab, select a NIA Study Institute partner to access data year availability information.</v>
      </c>
      <c r="E110" s="122" t="str">
        <f>IF(OR(E$109="Select X to Request All Files in Category",F$109="Enter Start Year", G109="Enter End Year",F$109&gt;G$109,F$109&lt;OASIS_Min_Year,F$109&gt;OASIS_Max_Year,G$109&lt;OASIS_Min_Year,G$109&gt;OASIS_Max_Year, D110="N/A"),"",E$109)</f>
        <v/>
      </c>
      <c r="F110" s="122" t="str">
        <f>IF(OR(E$109="Select X to Request All Files in Category",F$109="Enter Start Year",G$109="Enter End Year", F$109&lt;OASIS_Min_Year,F$109&gt;OASIS_Max_Year,G$109&lt;OASIS_Min_Year,G$109&gt;OASIS_Max_Year, D110="N/A"),"",IF(F$109&gt;G$109,"Invalid year selections. Check the Start Year and End Year values",F$109))</f>
        <v/>
      </c>
      <c r="G110" s="122" t="str">
        <f>IF(OR(E$109="Select X to Request All Files in Category",F$109="Enter Start Year",G$109="Enter End Year",F$109&lt;OASIS_Min_Year,F$109&gt;OASIS_Max_Year,G$109&lt;OASIS_Min_Year,G$109&gt;OASIS_Max_Year, D110="N/A"),"",IF(F$109&gt;G$109,"Invalid year selections. Check the Start Year and End Year values",G$109))</f>
        <v/>
      </c>
      <c r="H110" s="146" t="str">
        <f>IF(E110="x",IF(H$109="Select an Encryption Level","",H$109),"")</f>
        <v/>
      </c>
      <c r="I110" s="147" t="str">
        <f>IF(E110="x",IF(I$109=0,"",I$109),"")</f>
        <v/>
      </c>
      <c r="J110" s="96"/>
    </row>
    <row r="111" spans="1:10" ht="55.35" customHeight="1" x14ac:dyDescent="0.3">
      <c r="A111" s="96"/>
      <c r="B111" s="140" t="s">
        <v>231</v>
      </c>
      <c r="C111" s="148"/>
      <c r="D111" s="148"/>
      <c r="E111" s="148"/>
      <c r="F111" s="148"/>
      <c r="G111" s="148"/>
      <c r="H111" s="148"/>
      <c r="I111" s="148"/>
      <c r="J111" s="96"/>
    </row>
    <row r="112" spans="1:10" s="22" customFormat="1" ht="35.25" customHeight="1" x14ac:dyDescent="0.3">
      <c r="A112" s="150"/>
      <c r="B112" s="356" t="s">
        <v>702</v>
      </c>
      <c r="C112" s="317"/>
      <c r="D112" s="317"/>
      <c r="E112" s="317"/>
      <c r="F112" s="317"/>
      <c r="G112" s="317"/>
      <c r="H112" s="317"/>
      <c r="I112" s="317"/>
      <c r="J112" s="151"/>
    </row>
  </sheetData>
  <sheetProtection algorithmName="SHA-512" hashValue="dF1uM9o2P91aEOo4NAhd6jXWX46rUgEr6dyE4Ns9o7MGAejacgCpmoOG8PyCWh/AZfm9kSOQyYAh+1XCkWHNTg==" saltValue="BpFnrrRsYojLsX6kKAIq6A==" spinCount="100000" sheet="1" objects="1" scenarios="1" formatCells="0" formatColumns="0" formatRows="0"/>
  <conditionalFormatting sqref="E1:E1048576">
    <cfRule type="cellIs" dxfId="1" priority="1" operator="equal">
      <formula>"x"</formula>
    </cfRule>
  </conditionalFormatting>
  <dataValidations xWindow="782" yWindow="786" count="111">
    <dataValidation type="whole" allowBlank="1" showInputMessage="1" showErrorMessage="1" error="Enter a Start Year specified in the years available cell. " prompt="Select a Start Year." sqref="F77" xr:uid="{00000000-0002-0000-0500-000000000000}">
      <formula1>Medicaid_Claims_Data_Min_Year</formula1>
      <formula2>Medicaid_Claims_Data_Max_Year</formula2>
    </dataValidation>
    <dataValidation type="list" operator="equal" allowBlank="1" showErrorMessage="1" error="Select X to request the Denominator (DN) data. If you do not need the data, leave the menu as-is." prompt="Select X to request the Medicare Enrollment Data. If you do not need the data, leave the menu as-is." sqref="E23" xr:uid="{00000000-0002-0000-0500-000001000000}">
      <formula1>"X"</formula1>
    </dataValidation>
    <dataValidation type="list" allowBlank="1" showInputMessage="1" showErrorMessage="1" error="Select X to request the Medicare Enrollment Data. If you do not need the data, leave the menu as-is." prompt="Select X to request Medicare Enrollment data. If you do not need these data, leave the menu as-is." sqref="E22" xr:uid="{00000000-0002-0000-0500-000002000000}">
      <formula1>"Select X to Request All Files in Category, X"</formula1>
    </dataValidation>
    <dataValidation allowBlank="1" showInputMessage="1" showErrorMessage="1" prompt="Enter the reason(s) why your study requires Medicare Enrollment data and how your requested data is the minimum data needed for your study." sqref="I22" xr:uid="{00000000-0002-0000-0500-000003000000}"/>
    <dataValidation type="list" allowBlank="1" showInputMessage="1" showErrorMessage="1" error="Select the encryption level that your NIA-affiated survey approved you for." prompt="Select the ENCRYPTION LEVEL that the MedRIC study partner approved you for." sqref="H77 H22 H37 H44 H70 H29 H57 H97 H103 H109 H91" xr:uid="{00000000-0002-0000-0500-000004000000}">
      <formula1>"Select an Encryption Level, Standard, Geographic, Provider"</formula1>
    </dataValidation>
    <dataValidation type="list" allowBlank="1" showInputMessage="1" showErrorMessage="1" error="Select X to request the Medicaid Enrollment Data. If you do not need the data, leave the menu as-is." prompt="Select X to request Medicaid Enrollment data. If you do not need these data, leave the menu as-is." sqref="E37" xr:uid="{00000000-0002-0000-0500-000005000000}">
      <formula1>"Select X to Request All Files in Category, X"</formula1>
    </dataValidation>
    <dataValidation type="list" allowBlank="1" showInputMessage="1" showErrorMessage="1" error="Select X to request the Medicare Part A &amp; B Claims Data. If you do not need the data, leave the menu as-is." prompt="Select X to request Medicare Parts A &amp; B Claims data. If you do not need these data, leave the menu as-is." sqref="E44" xr:uid="{00000000-0002-0000-0500-000006000000}">
      <formula1>"Select X to Request All Files in Category, X"</formula1>
    </dataValidation>
    <dataValidation type="list" allowBlank="1" showInputMessage="1" showErrorMessage="1" error="Select X to request the Part D Drug Data. If you do not need the data, leave the menu as-is._x000a_" prompt="Select X to request Part D MTM Data. If you do not need these data, leave the menu as-is." sqref="E70" xr:uid="{00000000-0002-0000-0500-000007000000}">
      <formula1>"Select X to Request All Files in Category, X"</formula1>
    </dataValidation>
    <dataValidation type="list" allowBlank="1" showInputMessage="1" showErrorMessage="1" error="Select X to request the Medicaid Claims Data. If you do not need the data, leave the menu as-is._x000a_" prompt="Select X to request Medicaid Claims Data. If you do not need these data, leave the menu as-is." sqref="E77" xr:uid="{00000000-0002-0000-0500-000008000000}">
      <formula1>"Select X to Request All Files in Category, X"</formula1>
    </dataValidation>
    <dataValidation type="whole" allowBlank="1" showInputMessage="1" showErrorMessage="1" error="Enter an End Year specified in the years available cell. " prompt="Select an End Year." sqref="G77" xr:uid="{00000000-0002-0000-0500-000009000000}">
      <formula1>Medicaid_Claims_Data_Min_Year</formula1>
      <formula2>Medicaid_Claims_Data_Max_Year</formula2>
    </dataValidation>
    <dataValidation allowBlank="1" showInputMessage="1" showErrorMessage="1" prompt="Enter the reason(s) why your study requires Medicaid Enrollment data and how your requested data is the minimum data needed for your study." sqref="I37" xr:uid="{00000000-0002-0000-0500-00000A000000}"/>
    <dataValidation allowBlank="1" showInputMessage="1" showErrorMessage="1" prompt="Enter the reason(s) why your study requires Medicare Parts A &amp; B Claims data and how your requested data is the minimum data needed for your study." sqref="I44" xr:uid="{00000000-0002-0000-0500-00000B000000}"/>
    <dataValidation allowBlank="1" showInputMessage="1" showErrorMessage="1" prompt="Enter the reason(s) why your study requires Part D MTM data and how your requested data is the minimum data needed for your study." sqref="I70" xr:uid="{00000000-0002-0000-0500-00000C000000}"/>
    <dataValidation allowBlank="1" showInputMessage="1" showErrorMessage="1" prompt="Enter the reason(s) why your study requires Medicaid Claims data and how your requested data is the minimum data needed for your study." sqref="I77" xr:uid="{00000000-0002-0000-0500-00000D000000}"/>
    <dataValidation type="whole" allowBlank="1" showErrorMessage="1" error="Enter a Start Year specified in the Year(s) Available cell. " sqref="F23" xr:uid="{00000000-0002-0000-0500-00000E000000}">
      <formula1>DN_Min_Year</formula1>
      <formula2>DN_Max_Year</formula2>
    </dataValidation>
    <dataValidation type="whole" allowBlank="1" showErrorMessage="1" error="Enter End Year specified in the Year(s) Available cell." sqref="G23" xr:uid="{00000000-0002-0000-0500-00000F000000}">
      <formula1>DN_Min_Year</formula1>
      <formula2>DN_Max_Year</formula2>
    </dataValidation>
    <dataValidation type="whole" allowBlank="1" showErrorMessage="1" error="Enter Start Year specified in the Year(s) Available cell." sqref="F24" xr:uid="{00000000-0002-0000-0500-000010000000}">
      <formula1>MBSF_Base_Min_Year</formula1>
      <formula2>MBSF_Base_Max_Year</formula2>
    </dataValidation>
    <dataValidation type="whole" allowBlank="1" showErrorMessage="1" error="Enter End Year specified in the Year(s) Available cell." sqref="G24" xr:uid="{00000000-0002-0000-0500-000011000000}">
      <formula1>MBSF_Base_Min_Year</formula1>
      <formula2>MBSF_Base_Max_Year</formula2>
    </dataValidation>
    <dataValidation type="list" allowBlank="1" showErrorMessage="1" error="Select X to request the Master Beneficiary Summary File (MBSF): Base data. If you do not need the data, leave the menu as-is." sqref="E24" xr:uid="{00000000-0002-0000-0500-000012000000}">
      <formula1>"X"</formula1>
    </dataValidation>
    <dataValidation type="list" allowBlank="1" showErrorMessage="1" error="Select the encryption level that your NIA-affiated survey approved you for." sqref="H23:H24 H45:H52 H71 H78:H85 H38:H39" xr:uid="{00000000-0002-0000-0500-000013000000}">
      <formula1>"Select an Encryption Level, Standard, Geographic, Provider"</formula1>
    </dataValidation>
    <dataValidation type="whole" allowBlank="1" showInputMessage="1" showErrorMessage="1" error="Enter Start Year specified in the Year(s) Available cell." sqref="F71" xr:uid="{00000000-0002-0000-0500-000014000000}">
      <formula1>MTM_Min_Year</formula1>
      <formula2>MTM_Max_Year</formula2>
    </dataValidation>
    <dataValidation type="whole" allowBlank="1" showInputMessage="1" showErrorMessage="1" error="Enter End Year specified in the Year(s) Available cell." sqref="G71" xr:uid="{00000000-0002-0000-0500-000015000000}">
      <formula1>MTM_Min_Year</formula1>
      <formula2>MTM_Max_Year</formula2>
    </dataValidation>
    <dataValidation type="list" allowBlank="1" showInputMessage="1" showErrorMessage="1" error="Select X to request the Medicaid Analytic eXtract (MAX) Personal Summary (PS) Enrollment Data. If you do not need the data, leave the menu as-is." sqref="E38:E39" xr:uid="{00000000-0002-0000-0500-000016000000}">
      <formula1>"X"</formula1>
    </dataValidation>
    <dataValidation type="list" allowBlank="1" showInputMessage="1" showErrorMessage="1" error="Select X to request theMedRIC-Built Medicare Provider Analysis &amp; Review (MedPAR). If you do not need the data, leave the menu as-is." sqref="E52" xr:uid="{00000000-0002-0000-0500-000017000000}">
      <formula1>"X"</formula1>
    </dataValidation>
    <dataValidation type="list" allowBlank="1" showInputMessage="1" showErrorMessage="1" error="Select X to request the Medicare Part D Medication Therapy Management (MTM). If you do not need the data, leave the menu as-is." sqref="E71" xr:uid="{00000000-0002-0000-0500-000018000000}">
      <formula1>"X"</formula1>
    </dataValidation>
    <dataValidation type="whole" allowBlank="1" showInputMessage="1" showErrorMessage="1" error="Enter Start Year specified in the Year(s) Available cell." sqref="F38" xr:uid="{00000000-0002-0000-0500-000019000000}">
      <formula1>MAX_PS_Min_Year</formula1>
      <formula2>MAX_PS_Max_Year</formula2>
    </dataValidation>
    <dataValidation type="whole" allowBlank="1" showInputMessage="1" showErrorMessage="1" error="Enter End Year specified in the Year(s) Available cell." sqref="G38" xr:uid="{00000000-0002-0000-0500-00001A000000}">
      <formula1>MAX_PS_Min_Year</formula1>
      <formula2>MAX_PS_Max_Year</formula2>
    </dataValidation>
    <dataValidation type="list" allowBlank="1" showInputMessage="1" showErrorMessage="1" error="Select X to request the Medicaid Analytic eXtract (MAX) Other Services (OT) Claims. If you do not need the data, leave the menu as-is." sqref="E80:E85" xr:uid="{00000000-0002-0000-0500-00001B000000}">
      <formula1>"X"</formula1>
    </dataValidation>
    <dataValidation type="whole" allowBlank="1" showInputMessage="1" showErrorMessage="1" error="Enter an End Year specified in the years available cell. " prompt="Enter an End Year." sqref="G22" xr:uid="{00000000-0002-0000-0500-00001C000000}">
      <formula1>Medicare_Enrollment_Data_Min_Year</formula1>
      <formula2>Medicare_Enrollment_Data_Max_Year</formula2>
    </dataValidation>
    <dataValidation type="whole" allowBlank="1" showInputMessage="1" showErrorMessage="1" error="Enter a Start Year specified in the years available cell. " prompt="Enter a Start Year. " sqref="F22" xr:uid="{00000000-0002-0000-0500-00001D000000}">
      <formula1>Medicare_Enrollment_Data_Min_Year</formula1>
      <formula2>Medicare_Enrollment_Data_Max_Year</formula2>
    </dataValidation>
    <dataValidation type="whole" allowBlank="1" showInputMessage="1" showErrorMessage="1" error="Enter a Start Year specified in the years available cell. " prompt="Enter a Start Year. " sqref="F37" xr:uid="{00000000-0002-0000-0500-00001E000000}">
      <formula1>Medicaid_Enrollment_Data_Min_Year</formula1>
      <formula2>Medicaid_Enrollment_Data_Max_Year</formula2>
    </dataValidation>
    <dataValidation type="whole" allowBlank="1" showInputMessage="1" showErrorMessage="1" error="Enter an End Year specified in the years available cell. " prompt="Enter an End Year." sqref="G37" xr:uid="{00000000-0002-0000-0500-00001F000000}">
      <formula1>Medicaid_Enrollment_Data_Min_Year</formula1>
      <formula2>Medicaid_Enrollment_Data_Max_Year</formula2>
    </dataValidation>
    <dataValidation type="whole" allowBlank="1" showInputMessage="1" showErrorMessage="1" error="Enter Start Year specified in the Year(s) Available cell." sqref="F52" xr:uid="{00000000-0002-0000-0500-000020000000}">
      <formula1>MedPAR_Min_Year</formula1>
      <formula2>MedPAR_Max_Year</formula2>
    </dataValidation>
    <dataValidation type="whole" allowBlank="1" showInputMessage="1" showErrorMessage="1" error="Enter End Year specified in the Year(s) Available cell." sqref="G52" xr:uid="{00000000-0002-0000-0500-000021000000}">
      <formula1>MedPAR_Min_Year</formula1>
      <formula2>MedPAR_Max_Year</formula2>
    </dataValidation>
    <dataValidation type="whole" allowBlank="1" showInputMessage="1" showErrorMessage="1" error="Enter a Start Year specified in the years available cell. " prompt="Enter a Start Year. " sqref="F44" xr:uid="{00000000-0002-0000-0500-000022000000}">
      <formula1>Medicare_Claims_Data_Min_Year</formula1>
      <formula2>Medicare_Claims_Data_Max_Year</formula2>
    </dataValidation>
    <dataValidation type="whole" allowBlank="1" showInputMessage="1" showErrorMessage="1" error="Enter an End Year specified in the years available cell. " prompt="Enter an End Year." sqref="G44" xr:uid="{00000000-0002-0000-0500-000023000000}">
      <formula1>Medicare_Claims_Data_Min_Year</formula1>
      <formula2>Medicare_Claims_Data_Max_Year</formula2>
    </dataValidation>
    <dataValidation type="list" allowBlank="1" showInputMessage="1" showErrorMessage="1" error="Select X to request the Medicare Carrier (PB) Claims. If you do not need the data, leave the menu as-is." sqref="E45" xr:uid="{00000000-0002-0000-0500-000024000000}">
      <formula1>"X"</formula1>
    </dataValidation>
    <dataValidation type="list" allowBlank="1" showInputMessage="1" showErrorMessage="1" error="Select X to request the Medicare Durable Medical Equipment (DM) Claims. If you do not need the data, leave the menu as-is." sqref="E46" xr:uid="{00000000-0002-0000-0500-000025000000}">
      <formula1>"X"</formula1>
    </dataValidation>
    <dataValidation type="list" allowBlank="1" showInputMessage="1" showErrorMessage="1" error="Select X to request the Medicare Home Health (HH) Claims. If you do not need the data, leave the menu as-is." sqref="E47" xr:uid="{00000000-0002-0000-0500-000026000000}">
      <formula1>"X"</formula1>
    </dataValidation>
    <dataValidation type="list" allowBlank="1" showInputMessage="1" showErrorMessage="1" error="Select X to request the Medicare Hospice (HS) Claims. If you do not need the data, leave the menu as-is." sqref="E48" xr:uid="{00000000-0002-0000-0500-000027000000}">
      <formula1>"X"</formula1>
    </dataValidation>
    <dataValidation type="list" allowBlank="1" showInputMessage="1" showErrorMessage="1" error="Select X to request the Medicare Inpatient (IP) Claims. If you do not need the data, leave the menu as-is." sqref="E49" xr:uid="{00000000-0002-0000-0500-000028000000}">
      <formula1>"X"</formula1>
    </dataValidation>
    <dataValidation type="list" allowBlank="1" showInputMessage="1" showErrorMessage="1" error="Select X to request the Medicare Outpatient (OP) Claims. If you do not need the data, leave the menu as-is." sqref="E50" xr:uid="{00000000-0002-0000-0500-000029000000}">
      <formula1>"X"</formula1>
    </dataValidation>
    <dataValidation type="list" allowBlank="1" showInputMessage="1" showErrorMessage="1" error="Select X to request the Medicare Skilled Nursing Facility (SN) Claims. If you do not need the data, leave the menu as-is." sqref="E51" xr:uid="{00000000-0002-0000-0500-00002A000000}">
      <formula1>"X"</formula1>
    </dataValidation>
    <dataValidation type="whole" allowBlank="1" showInputMessage="1" showErrorMessage="1" error="Enter a Start Year specified in the years available cell. " prompt="Enter a Start Year. " sqref="F70" xr:uid="{00000000-0002-0000-0500-00002B000000}">
      <formula1>MTM_Min_Year</formula1>
      <formula2>MTM_Max_Year</formula2>
    </dataValidation>
    <dataValidation type="whole" allowBlank="1" showInputMessage="1" showErrorMessage="1" error="Enter an End Year specified in the years available cell. " prompt="Enter an End Year." sqref="G70" xr:uid="{00000000-0002-0000-0500-00002C000000}">
      <formula1>MTM_Min_Year</formula1>
      <formula2>MTM_Max_Year</formula2>
    </dataValidation>
    <dataValidation type="list" allowBlank="1" showInputMessage="1" showErrorMessage="1" error="Select X to request the Medicaid Analytic eXtract (MAX) Inpatient (IP) Claims. If you do not need the data, leave the menu as-is." sqref="E78" xr:uid="{00000000-0002-0000-0500-00002D000000}">
      <formula1>"X"</formula1>
    </dataValidation>
    <dataValidation type="list" allowBlank="1" showInputMessage="1" showErrorMessage="1" error="Select X to request the Medicaid Analytic eXtract (MAX) Long Term Care (LT) Claims. If you do not need the data, leave the menu as-is." sqref="E79" xr:uid="{00000000-0002-0000-0500-00002E000000}">
      <formula1>"X"</formula1>
    </dataValidation>
    <dataValidation type="whole" allowBlank="1" showInputMessage="1" showErrorMessage="1" error="Enter Start Year specified in the Year(s) Available cell." sqref="F78" xr:uid="{00000000-0002-0000-0500-00002F000000}">
      <formula1>MAX_IP_Min_Year</formula1>
      <formula2>MAX_IP_Max_Year</formula2>
    </dataValidation>
    <dataValidation type="whole" allowBlank="1" showInputMessage="1" showErrorMessage="1" error="Enter End Year specified in the Year(s) Available cell." sqref="G78" xr:uid="{00000000-0002-0000-0500-000030000000}">
      <formula1>MAX_IP_Min_Year</formula1>
      <formula2>MAX_IP_Max_Year</formula2>
    </dataValidation>
    <dataValidation type="whole" allowBlank="1" showInputMessage="1" showErrorMessage="1" error="Enter Start Year specified in the Year(s) Available cell." sqref="F79" xr:uid="{00000000-0002-0000-0500-000031000000}">
      <formula1>MAX_LT_Min_Year</formula1>
      <formula2>MAX_LT_Max_Year</formula2>
    </dataValidation>
    <dataValidation type="whole" allowBlank="1" showInputMessage="1" showErrorMessage="1" error="Enter End Year specified in the Year(s) Available cell." sqref="G79" xr:uid="{00000000-0002-0000-0500-000032000000}">
      <formula1>MAX_LT_Min_Year</formula1>
      <formula2>MAX_LT_Max_Year</formula2>
    </dataValidation>
    <dataValidation type="whole" allowBlank="1" showInputMessage="1" showErrorMessage="1" error="Enter Start Year specified in the Year(s) Available cell." sqref="F80" xr:uid="{00000000-0002-0000-0500-000033000000}">
      <formula1>MAX_OT_Min_Year</formula1>
      <formula2>MAX_OT_Max_Year</formula2>
    </dataValidation>
    <dataValidation type="whole" allowBlank="1" showInputMessage="1" showErrorMessage="1" error="Enter End Year specified in the Year(s) Available cell." sqref="G80" xr:uid="{00000000-0002-0000-0500-000034000000}">
      <formula1>MAX_OT_Min_Year</formula1>
      <formula2>MAX_OT_Max_Year</formula2>
    </dataValidation>
    <dataValidation type="whole" allowBlank="1" showInputMessage="1" showErrorMessage="1" error="Enter Start Year specified in the Year(s) Available cell." sqref="F81" xr:uid="{00000000-0002-0000-0500-000035000000}">
      <formula1>MAX_RX_Min_Year</formula1>
      <formula2>MAX_RX_Max_Year</formula2>
    </dataValidation>
    <dataValidation type="whole" allowBlank="1" showInputMessage="1" showErrorMessage="1" error="Enter End Year specified in the Year(s) Available cell." sqref="G81" xr:uid="{00000000-0002-0000-0500-000036000000}">
      <formula1>MAX_RX_Min_Year</formula1>
      <formula2>MAX_RX_Max_Year</formula2>
    </dataValidation>
    <dataValidation type="whole" allowBlank="1" showInputMessage="1" showErrorMessage="1" error="Enter Start Year specified in the Year(s) Available cell." sqref="F45" xr:uid="{00000000-0002-0000-0500-000037000000}">
      <formula1>AB_PB_Min_Year</formula1>
      <formula2>AB_PB_Max_Year</formula2>
    </dataValidation>
    <dataValidation type="whole" allowBlank="1" showInputMessage="1" showErrorMessage="1" error="Enter End Year specified in the Year(s) Available cell." sqref="G45" xr:uid="{00000000-0002-0000-0500-000038000000}">
      <formula1>AB_PB_Min_Year</formula1>
      <formula2>AB_PB_Max_Year</formula2>
    </dataValidation>
    <dataValidation type="whole" allowBlank="1" showInputMessage="1" showErrorMessage="1" error="Enter Start Year specified in the Year(s) Available cell." sqref="F46" xr:uid="{00000000-0002-0000-0500-000039000000}">
      <formula1>AB_DM_Min_Year</formula1>
      <formula2>AB_DM_Max_Year</formula2>
    </dataValidation>
    <dataValidation type="whole" allowBlank="1" showInputMessage="1" showErrorMessage="1" error="Enter End Year specified in the Year(s) Available cell." sqref="G46" xr:uid="{00000000-0002-0000-0500-00003A000000}">
      <formula1>AB_DM_Min_Year</formula1>
      <formula2>AB_DM_Max_Year</formula2>
    </dataValidation>
    <dataValidation type="whole" allowBlank="1" showInputMessage="1" showErrorMessage="1" error="Enter Start Year specified in the Year(s) Available cell." sqref="F47" xr:uid="{00000000-0002-0000-0500-00003B000000}">
      <formula1>AB_HH_Min_Year</formula1>
      <formula2>AB_HH_Max_Year</formula2>
    </dataValidation>
    <dataValidation type="whole" allowBlank="1" showInputMessage="1" showErrorMessage="1" error="Enter End Year specified in the Year(s) Available cell." sqref="G47" xr:uid="{00000000-0002-0000-0500-00003C000000}">
      <formula1>AB_HH_Min_Year</formula1>
      <formula2>AB_HH_Max_Year</formula2>
    </dataValidation>
    <dataValidation type="whole" allowBlank="1" showInputMessage="1" showErrorMessage="1" error="Enter Start Year specified in the Year(s) Available cell." sqref="F48" xr:uid="{00000000-0002-0000-0500-00003D000000}">
      <formula1>AB_HS_Min_Year</formula1>
      <formula2>AB_HS_Max_Year</formula2>
    </dataValidation>
    <dataValidation type="whole" allowBlank="1" showInputMessage="1" showErrorMessage="1" error="Enter End Year specified in the Year(s) Available cell." sqref="G48" xr:uid="{00000000-0002-0000-0500-00003E000000}">
      <formula1>AB_HS_Min_Year</formula1>
      <formula2>AB_HS_Max_Year</formula2>
    </dataValidation>
    <dataValidation type="whole" allowBlank="1" showInputMessage="1" showErrorMessage="1" error="Enter Start Year specified in the Year(s) Available cell." sqref="F49" xr:uid="{00000000-0002-0000-0500-00003F000000}">
      <formula1>AB_IP_Min_Year</formula1>
      <formula2>AB_IP_Max_Year</formula2>
    </dataValidation>
    <dataValidation type="whole" allowBlank="1" showInputMessage="1" showErrorMessage="1" error="Enter End Year specified in the Year(s) Available cell." sqref="G49" xr:uid="{00000000-0002-0000-0500-000040000000}">
      <formula1>AB_IP_Min_Year</formula1>
      <formula2>AB_IP_Max_Year</formula2>
    </dataValidation>
    <dataValidation type="whole" allowBlank="1" showInputMessage="1" showErrorMessage="1" error="Enter Start Year specified in the Year(s) Available cell." sqref="F50" xr:uid="{00000000-0002-0000-0500-000041000000}">
      <formula1>AB_OP_Min_Year</formula1>
      <formula2>AB_OP_Max_Year</formula2>
    </dataValidation>
    <dataValidation type="whole" allowBlank="1" showInputMessage="1" showErrorMessage="1" error="Enter End Year specified in the Year(s) Available cell." sqref="G50" xr:uid="{00000000-0002-0000-0500-000042000000}">
      <formula1>AB_OP_Min_Year</formula1>
      <formula2>AB_OP_Max_Year</formula2>
    </dataValidation>
    <dataValidation type="whole" allowBlank="1" showInputMessage="1" showErrorMessage="1" error="Enter Start Year specified in the Year(s) Available cell." sqref="F51" xr:uid="{00000000-0002-0000-0500-000043000000}">
      <formula1>AB_SN_Min_Year</formula1>
      <formula2>AB_SN_Max_Year</formula2>
    </dataValidation>
    <dataValidation type="whole" allowBlank="1" showInputMessage="1" showErrorMessage="1" error="Enter End Year specified in the Year(s) Available cell." sqref="G51" xr:uid="{00000000-0002-0000-0500-000044000000}">
      <formula1>AB_SN_Min_Year</formula1>
      <formula2>AB_SN_Max_Year</formula2>
    </dataValidation>
    <dataValidation allowBlank="1" showInputMessage="1" showErrorMessage="1" prompt="Enter the reason(s) why your study requires Additional Medicare Summary Files and how your requested data is the minimum data needed for your study." sqref="I29" xr:uid="{00000000-0002-0000-0500-000045000000}"/>
    <dataValidation type="list" allowBlank="1" showInputMessage="1" showErrorMessage="1" error="Select X to request Additional Medicare Summary Files. If you do not need these data, leave the menu as-is." prompt="Select X to request Additional Medicare Summary Files. If you do not need these data, leave the menu as-is." sqref="E29" xr:uid="{00000000-0002-0000-0500-000046000000}">
      <formula1>"Select X to Request All Files in Category, X"</formula1>
    </dataValidation>
    <dataValidation type="list" allowBlank="1" showInputMessage="1" showErrorMessage="1" error="Select X to request the Part C Claims Data. If you do not need the data, leave the menu as-is." prompt="Select X to request Part C Claims data. If you do not need these data, leave the menu as-is." sqref="E57" xr:uid="{00000000-0002-0000-0500-000047000000}">
      <formula1>"Select X to Request All Files in Category, X"</formula1>
    </dataValidation>
    <dataValidation allowBlank="1" showInputMessage="1" showErrorMessage="1" prompt="Enter the reason(s) why your study requires Part C Claims data and how your requested data is the minimum data needed for your study." sqref="I57" xr:uid="{00000000-0002-0000-0500-000048000000}"/>
    <dataValidation type="list" allowBlank="1" showInputMessage="1" showErrorMessage="1" sqref="E30:E32 E98 E104 E92 E110" xr:uid="{00000000-0002-0000-0500-000049000000}">
      <formula1>"X"</formula1>
    </dataValidation>
    <dataValidation type="whole" allowBlank="1" showInputMessage="1" showErrorMessage="1" error="Enter a Start Year specified in the years available cell. " prompt="Enter a Start Year. " sqref="F29" xr:uid="{00000000-0002-0000-0500-00004A000000}">
      <formula1>Additional_Medicare_Summary_Files_Min_Year</formula1>
      <formula2>Additional_Medicare_Summary_Files_Max_Year</formula2>
    </dataValidation>
    <dataValidation type="whole" allowBlank="1" showInputMessage="1" showErrorMessage="1" error="Enter an End Year specified in the years available cell. " prompt="Enter an End Year." sqref="G29" xr:uid="{00000000-0002-0000-0500-00004B000000}">
      <formula1>Additional_Medicare_Summary_Files_Min_Year</formula1>
      <formula2>Additional_Medicare_Summary_Files_Max_Year</formula2>
    </dataValidation>
    <dataValidation type="list" allowBlank="1" showInputMessage="1" showErrorMessage="1" sqref="H30:H32 H58:H63 H98 H104 H110 H92" xr:uid="{00000000-0002-0000-0500-00004C000000}">
      <formula1>"Select an Encryption Level, Standard, Geographic, Provider"</formula1>
    </dataValidation>
    <dataValidation type="whole" allowBlank="1" showInputMessage="1" showErrorMessage="1" error="Enter Start Year specified in the Year(s) Available cell." sqref="F39" xr:uid="{00000000-0002-0000-0500-00004D000000}">
      <formula1>TMSIS_DE_Min_Year</formula1>
      <formula2>TMSIS_DE_Max_Year</formula2>
    </dataValidation>
    <dataValidation type="whole" allowBlank="1" showInputMessage="1" showErrorMessage="1" error="Enter End Year specified in the Year(s) Available cell." sqref="G39" xr:uid="{00000000-0002-0000-0500-00004E000000}">
      <formula1>TMSIS_DE_Min_Year</formula1>
      <formula2>TMSIS_DE_Max_Year</formula2>
    </dataValidation>
    <dataValidation allowBlank="1" showInputMessage="1" showErrorMessage="1" error="Enter Start Year specified in the Year(s) Available cell." sqref="F82:F85" xr:uid="{00000000-0002-0000-0500-000050000000}"/>
    <dataValidation allowBlank="1" showInputMessage="1" showErrorMessage="1" error="Enter End Year specified in the Year(s) Available cell." sqref="G82:G85" xr:uid="{00000000-0002-0000-0500-000051000000}"/>
    <dataValidation type="whole" allowBlank="1" showInputMessage="1" showErrorMessage="1" error="Enter a Start Year specified in the years available cell. " prompt="Enter a Start Year. " sqref="F57" xr:uid="{C553A5DC-A465-41DA-9CAF-8C57E29E0C74}">
      <formula1>Part_C_Claims_Data_Min_Year</formula1>
      <formula2>Part_C_Claims_Data_Max_Year</formula2>
    </dataValidation>
    <dataValidation type="whole" allowBlank="1" showInputMessage="1" showErrorMessage="1" error="Enter an End Year specified in the years available cell. " prompt="Enter an End Year." sqref="G57" xr:uid="{34628546-471F-4EA8-882F-20CE9F8657A0}">
      <formula1>Part_C_Claims_Data_Min_Year</formula1>
      <formula2>Part_C_Claims_Data_Max_Year</formula2>
    </dataValidation>
    <dataValidation type="whole" allowBlank="1" showInputMessage="1" showErrorMessage="1" sqref="F58:G58" xr:uid="{261C29DA-0609-4BCD-B0D3-02BF434A89AD}">
      <formula1>C_Carrier_Min_Year</formula1>
      <formula2>C_Carrier_Max_Year</formula2>
    </dataValidation>
    <dataValidation type="whole" allowBlank="1" showInputMessage="1" showErrorMessage="1" sqref="F59:G59" xr:uid="{78F5D1EB-BDCC-4894-955E-3AB0B1921CA1}">
      <formula1>C_DME_Min_Year</formula1>
      <formula2>C_DME_Max_Year</formula2>
    </dataValidation>
    <dataValidation type="whole" allowBlank="1" showInputMessage="1" showErrorMessage="1" sqref="F60:G60" xr:uid="{D048C549-1866-400F-B65A-7D7EDEA4CC34}">
      <formula1>C_HH_Min_Year</formula1>
      <formula2>C_HH_Max_Year</formula2>
    </dataValidation>
    <dataValidation type="whole" allowBlank="1" showInputMessage="1" showErrorMessage="1" sqref="F61:G61" xr:uid="{3AD103C0-81E2-4745-93BD-42AE9749F99F}">
      <formula1>C_IP_Min_Year</formula1>
      <formula2>C_IP_Max_Year</formula2>
    </dataValidation>
    <dataValidation type="whole" allowBlank="1" showInputMessage="1" showErrorMessage="1" sqref="F62:G62" xr:uid="{98B93C57-C26A-4032-8476-909B54EB9759}">
      <formula1>C_OP_Min_Year</formula1>
      <formula2>C_OP_Max_Year</formula2>
    </dataValidation>
    <dataValidation type="whole" allowBlank="1" showInputMessage="1" showErrorMessage="1" sqref="F63:G63" xr:uid="{8AB25C75-E846-4995-AE6E-0EFA8A6A62C4}">
      <formula1>C_SNF_Min_Year</formula1>
      <formula2>C_SNF_Max_Year</formula2>
    </dataValidation>
    <dataValidation type="whole" allowBlank="1" showInputMessage="1" showErrorMessage="1" error="Enter an End Year specified in the years available cell. " prompt="Enter an End Year." sqref="G97" xr:uid="{97D13565-1002-4405-B14F-8C796DF4613F}">
      <formula1>IRF_PAI_Min_Year</formula1>
      <formula2>IRF_PAI_Max_Year</formula2>
    </dataValidation>
    <dataValidation type="whole" allowBlank="1" showInputMessage="1" showErrorMessage="1" error="Enter a Start Year specified in the years available cell. " prompt="Enter a Start Year." sqref="F97" xr:uid="{5DE79223-FCFD-4CF6-AE31-16CB77E02528}">
      <formula1>IRF_PAI_Min_Year</formula1>
      <formula2>IRF_PAI_Max_Year</formula2>
    </dataValidation>
    <dataValidation allowBlank="1" showInputMessage="1" showErrorMessage="1" prompt="Enter the reason(s) why your study requires IRF-PAI data and how your requested data is the minimum data needed for your study." sqref="I97 I91" xr:uid="{ACAD4758-A097-470A-9238-0B081FC7F1E8}"/>
    <dataValidation type="list" allowBlank="1" showInputMessage="1" showErrorMessage="1" error="Select X to request the HEDIS Data. If you do not need the data, leave the menu as-is._x000a_" prompt="Select X to request HEDIS Data. If you do not need these data, leave the menu as-is." sqref="E91" xr:uid="{FA5DF8F6-C61E-42D9-A162-7786043BA08A}">
      <formula1>"Select X to Request All Files in Category, X"</formula1>
    </dataValidation>
    <dataValidation allowBlank="1" showInputMessage="1" showErrorMessage="1" prompt="Enter the reason(s) why your study requires MDS data and how your requested data is the minimum data needed for your study." sqref="I103" xr:uid="{0BBE4D41-214A-482C-90AC-C0739A850DCC}"/>
    <dataValidation allowBlank="1" showInputMessage="1" showErrorMessage="1" prompt="Enter the reason(s) why your study requires OASIS data and how your requested data is the minimum data needed for your study." sqref="I109" xr:uid="{5D2497A1-F651-4A2A-9D1F-051EE9522752}"/>
    <dataValidation type="whole" allowBlank="1" showInputMessage="1" showErrorMessage="1" sqref="F98:G98" xr:uid="{4E496EC5-ED85-49CE-BB5E-6478736B5FBB}">
      <formula1>IRF_PAI_Min_Year</formula1>
      <formula2>IRF_PAI_Max_Year</formula2>
    </dataValidation>
    <dataValidation type="whole" allowBlank="1" showInputMessage="1" showErrorMessage="1" sqref="F104:G104" xr:uid="{B9C9CF3C-5BB3-4B64-ADF3-EFCF1CA0B5DF}">
      <formula1>MDS_Min_Year</formula1>
      <formula2>MDS_Max_Year</formula2>
    </dataValidation>
    <dataValidation type="whole" allowBlank="1" showInputMessage="1" showErrorMessage="1" sqref="F110:G110" xr:uid="{316EF1C0-D49B-47BB-BB39-DC9730660792}">
      <formula1>OASIS_Min_Year</formula1>
      <formula2>OASIS_Max_Year</formula2>
    </dataValidation>
    <dataValidation type="whole" allowBlank="1" showInputMessage="1" showErrorMessage="1" error="Enter a Start Year specified in the years available cell. " prompt="Enter a Start Year." sqref="F103" xr:uid="{BD2CD395-E801-4D1F-9C61-199AC82509C5}">
      <formula1>MDS_Min_Year</formula1>
      <formula2>MDS_Max_Year</formula2>
    </dataValidation>
    <dataValidation type="whole" allowBlank="1" showInputMessage="1" showErrorMessage="1" error="Enter an End Year specified in the years available cell. " prompt="Enter an End Year." sqref="G103" xr:uid="{C1681862-AEFD-45DC-8F75-70408B2DE695}">
      <formula1>MDS_Min_Year</formula1>
      <formula2>MDS_Max_Year</formula2>
    </dataValidation>
    <dataValidation type="whole" allowBlank="1" showInputMessage="1" showErrorMessage="1" error="Enter a Start Year specified in the years available cell. " prompt="Enter a Start Year." sqref="F109" xr:uid="{4069C545-9205-40EB-BFEC-4E2CCC43F686}">
      <formula1>OASIS_Min_Year</formula1>
      <formula2>OASIS_Max_Year</formula2>
    </dataValidation>
    <dataValidation type="whole" allowBlank="1" showInputMessage="1" showErrorMessage="1" error="Enter an End Year specified in the years available cell. " prompt="Enter an End Year." sqref="G109" xr:uid="{1ECEDDF7-694C-4C1C-887C-02A342EDCACB}">
      <formula1>OASIS_Min_Year</formula1>
      <formula2>OASIS_Max_Year</formula2>
    </dataValidation>
    <dataValidation type="whole" allowBlank="1" showInputMessage="1" showErrorMessage="1" error="Enter a Start Year specified in the years available cell. " prompt="Enter a Start Year." sqref="F91" xr:uid="{9D187584-675F-49ED-A65A-9549D8EFDD5A}">
      <formula1>HEDIS_Min_Year</formula1>
      <formula2>HEDIS_Max_Year</formula2>
    </dataValidation>
    <dataValidation type="whole" allowBlank="1" showInputMessage="1" showErrorMessage="1" error="Enter an End Year specified in the years available cell. " prompt="Enter an End Year." sqref="G91" xr:uid="{84E207C8-F87B-4AF0-9C45-D5BCED13C3D9}">
      <formula1>HEDIS_Min_Year</formula1>
      <formula2>HEDIS_Max_Year</formula2>
    </dataValidation>
    <dataValidation type="whole" allowBlank="1" showInputMessage="1" showErrorMessage="1" sqref="F92 G92" xr:uid="{0B222A38-2722-4AF5-93C2-10D26C4F4CCF}">
      <formula1>HEDIS_Min_Year</formula1>
      <formula2>HEDIS_Max_Year</formula2>
    </dataValidation>
    <dataValidation type="whole" allowBlank="1" showInputMessage="1" showErrorMessage="1" sqref="F30 G30" xr:uid="{0CE88D1B-30FF-4F2C-989F-AEECDE51E71D}">
      <formula1>MBSF_CC_Min_Year</formula1>
      <formula2>MBSF_CC_Max_Year</formula2>
    </dataValidation>
    <dataValidation type="whole" allowBlank="1" showInputMessage="1" showErrorMessage="1" sqref="F31" xr:uid="{835C139A-2AAA-4049-8D87-7A71D835B227}">
      <formula1>MBSF_CU_Min_Year</formula1>
      <formula2>MBSF_CU_Max_Year</formula2>
    </dataValidation>
    <dataValidation type="whole" allowBlank="1" showInputMessage="1" showErrorMessage="1" sqref="G32" xr:uid="{EDE323E7-0BD5-47B8-916E-471E5F54A0BD}">
      <formula1>MBSF_Other_Min_Year</formula1>
      <formula2>MBSF_Other_Max_Year</formula2>
    </dataValidation>
    <dataValidation type="list" allowBlank="1" showInputMessage="1" showErrorMessage="1" error="Select X to request the OASIS Data. If you do not need the data, leave the menu as-is._x000a_" prompt="Select X to request OASIS Data. If you do not need these data, leave the menu as-is." sqref="E109" xr:uid="{6BDFDC86-BFD9-4529-B057-F397D948019F}">
      <formula1>"Select X to Request All Files in Category, X"</formula1>
    </dataValidation>
    <dataValidation type="list" allowBlank="1" showInputMessage="1" showErrorMessage="1" error="Select X to request the MDS Data. If you do not need the data, leave the menu as-is._x000a_" prompt="Select X to request MDS Data. If you do not need these data, leave the menu as-is." sqref="E103" xr:uid="{2473FFDD-D69F-41F9-A4B8-6F449A961FC1}">
      <formula1>"Select X to Request All Files in Category, X"</formula1>
    </dataValidation>
    <dataValidation type="list" allowBlank="1" showInputMessage="1" showErrorMessage="1" error="Select X to request the IRF-PAI  Data. If you do not need the data, leave the menu as-is._x000a_" prompt="Select X to request IRF-PAI Data. If you do not need these data, leave the menu as-is." sqref="E97" xr:uid="{AD146EA6-39F0-44C9-AF83-B1931DA19379}">
      <formula1>"Select X to Request All Files in Category, X"</formula1>
    </dataValidation>
  </dataValidations>
  <hyperlinks>
    <hyperlink ref="B25" location="'File-Level_Request'!A1" display="Back to top" xr:uid="{00000000-0004-0000-0500-000000000000}"/>
    <hyperlink ref="B40" location="'File-Level_Request'!A1" display="Back to top" xr:uid="{00000000-0004-0000-0500-000001000000}"/>
    <hyperlink ref="B53" location="'File-Level_Request'!A1" display="Back to top" xr:uid="{00000000-0004-0000-0500-000002000000}"/>
    <hyperlink ref="B72" location="'File-Level_Request'!A1" display="Back to top" xr:uid="{00000000-0004-0000-0500-000003000000}"/>
    <hyperlink ref="B86" location="'File-Level_Request'!A1" display="Back to top" xr:uid="{00000000-0004-0000-0500-000004000000}"/>
    <hyperlink ref="B99" location="'File-Level_Request'!A1" display="Back to top" xr:uid="{00000000-0004-0000-0500-000008000000}"/>
    <hyperlink ref="B67" location="PDE_Request!A1" display="To request Part D PDE, use the PDE_Request worksheet. " xr:uid="{00000000-0004-0000-0500-000009000000}"/>
    <hyperlink ref="A4:H4" location="About_Request_Form!A1" display="Before completing this Form, review the About_Request_Form worksheet, which contains critical information on Form fields and their differences relative to ResDAC's CMS data request materials." xr:uid="{00000000-0004-0000-0500-00000A000000}"/>
    <hyperlink ref="B33" location="'File-Level_Request'!A1" display="Back to top" xr:uid="{00000000-0004-0000-0500-00000B000000}"/>
    <hyperlink ref="B64" location="'File-Level_Request'!A1" display="Back to top" xr:uid="{00000000-0004-0000-0500-00000C000000}"/>
    <hyperlink ref="B105" location="'File-Level_Request'!A1" display="Back to top" xr:uid="{9F94BF9A-DF81-46A7-89EA-2B3B9BBF63D7}"/>
    <hyperlink ref="B111" location="'File-Level_Request'!A1" display="Back to top" xr:uid="{D7CFBB63-4CB9-4684-B62F-CB527922B404}"/>
    <hyperlink ref="B93" location="'File-Level_Request'!A1" display="Back to top" xr:uid="{714E624F-B25B-4BC8-B3B4-E2BAE1F5A558}"/>
  </hyperlink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tabColor rgb="FF09597D"/>
  </sheetPr>
  <dimension ref="A1:J79"/>
  <sheetViews>
    <sheetView showGridLines="0" zoomScaleNormal="100" workbookViewId="0">
      <selection activeCell="A2" sqref="A2"/>
    </sheetView>
  </sheetViews>
  <sheetFormatPr defaultColWidth="8.6640625" defaultRowHeight="17.25" x14ac:dyDescent="0.3"/>
  <cols>
    <col min="1" max="1" width="7.77734375" style="201" customWidth="1"/>
    <col min="2" max="3" width="18.6640625" style="201" customWidth="1"/>
    <col min="4" max="4" width="20.6640625" style="201" customWidth="1"/>
    <col min="5" max="5" width="18.6640625" style="201" customWidth="1"/>
    <col min="6" max="6" width="70.6640625" style="201" customWidth="1"/>
    <col min="7" max="7" width="18.77734375" style="201" customWidth="1"/>
    <col min="8" max="8" width="18.6640625" style="201" customWidth="1"/>
    <col min="9" max="9" width="65.6640625" style="201" customWidth="1"/>
    <col min="10" max="10" width="8.6640625" style="202" customWidth="1"/>
    <col min="11" max="16384" width="8.6640625" style="21"/>
  </cols>
  <sheetData>
    <row r="1" spans="1:10" ht="28.35" customHeight="1" x14ac:dyDescent="0.25">
      <c r="A1" s="296" t="s">
        <v>543</v>
      </c>
      <c r="B1" s="90"/>
      <c r="C1" s="90"/>
      <c r="D1" s="90"/>
      <c r="E1" s="90"/>
      <c r="F1" s="90"/>
      <c r="G1" s="90"/>
      <c r="H1" s="90"/>
      <c r="I1" s="154"/>
      <c r="J1" s="154"/>
    </row>
    <row r="2" spans="1:10" ht="28.9" customHeight="1" x14ac:dyDescent="0.55000000000000004">
      <c r="A2" s="464" t="s">
        <v>783</v>
      </c>
      <c r="B2" s="349"/>
      <c r="C2" s="349"/>
      <c r="D2" s="349"/>
      <c r="E2" s="349"/>
      <c r="F2" s="349"/>
      <c r="G2" s="349"/>
      <c r="H2" s="349"/>
      <c r="I2" s="155"/>
      <c r="J2" s="155"/>
    </row>
    <row r="3" spans="1:10" ht="30" customHeight="1" x14ac:dyDescent="0.55000000000000004">
      <c r="A3" s="349" t="s">
        <v>784</v>
      </c>
      <c r="B3" s="349"/>
      <c r="C3" s="349"/>
      <c r="D3" s="349"/>
      <c r="E3" s="349"/>
      <c r="F3" s="349"/>
      <c r="G3" s="349"/>
      <c r="H3" s="349"/>
      <c r="I3" s="155"/>
      <c r="J3" s="155"/>
    </row>
    <row r="4" spans="1:10" ht="20.100000000000001" customHeight="1" x14ac:dyDescent="0.3">
      <c r="A4" s="422" t="s">
        <v>792</v>
      </c>
      <c r="B4" s="377"/>
      <c r="C4" s="377"/>
      <c r="D4" s="377"/>
      <c r="E4" s="377"/>
      <c r="F4" s="377"/>
      <c r="G4" s="377"/>
      <c r="H4" s="377"/>
      <c r="I4" s="377"/>
      <c r="J4" s="377"/>
    </row>
    <row r="5" spans="1:10" s="25" customFormat="1" ht="35.25" customHeight="1" x14ac:dyDescent="0.3">
      <c r="A5" s="421" t="str">
        <f>IF(SelectSurvey=0,"To request Part D Drug Event (PDE) files for your research project:",CONCATENATE("To request Part D Drug Event (PDE) files for ",VLOOKUP(SelectSurvey,DisplaySurveyName,2,FALSE),":"))</f>
        <v>To request Part D Drug Event (PDE) files for your research project:</v>
      </c>
      <c r="B5" s="370"/>
      <c r="C5" s="370"/>
      <c r="D5" s="370"/>
      <c r="E5" s="370"/>
      <c r="F5" s="370"/>
      <c r="G5" s="370"/>
      <c r="H5" s="379"/>
      <c r="I5" s="390"/>
      <c r="J5" s="391"/>
    </row>
    <row r="6" spans="1:10" s="23" customFormat="1" ht="20.100000000000001" customHeight="1" x14ac:dyDescent="0.3">
      <c r="A6" s="392">
        <v>1</v>
      </c>
      <c r="B6" s="393" t="s">
        <v>552</v>
      </c>
      <c r="C6" s="394"/>
      <c r="D6" s="394"/>
      <c r="E6" s="394"/>
      <c r="F6" s="394"/>
      <c r="G6" s="394"/>
      <c r="H6" s="394"/>
      <c r="I6" s="395"/>
      <c r="J6" s="396"/>
    </row>
    <row r="7" spans="1:10" s="23" customFormat="1" ht="20.100000000000001" customHeight="1" x14ac:dyDescent="0.3">
      <c r="A7" s="392">
        <v>2</v>
      </c>
      <c r="B7" s="393" t="s">
        <v>553</v>
      </c>
      <c r="C7" s="394"/>
      <c r="D7" s="394"/>
      <c r="E7" s="394"/>
      <c r="F7" s="394"/>
      <c r="G7" s="394"/>
      <c r="H7" s="394"/>
      <c r="I7" s="395"/>
      <c r="J7" s="396"/>
    </row>
    <row r="8" spans="1:10" s="22" customFormat="1" ht="20.100000000000001" customHeight="1" x14ac:dyDescent="0.3">
      <c r="A8" s="392">
        <v>3</v>
      </c>
      <c r="B8" s="393" t="s">
        <v>631</v>
      </c>
      <c r="C8" s="397"/>
      <c r="D8" s="397"/>
      <c r="E8" s="397"/>
      <c r="F8" s="397"/>
      <c r="G8" s="397"/>
      <c r="H8" s="398"/>
      <c r="I8" s="399"/>
      <c r="J8" s="400"/>
    </row>
    <row r="9" spans="1:10" s="22" customFormat="1" ht="20.100000000000001" customHeight="1" x14ac:dyDescent="0.3">
      <c r="A9" s="392"/>
      <c r="B9" s="393" t="s">
        <v>503</v>
      </c>
      <c r="C9" s="397"/>
      <c r="D9" s="397"/>
      <c r="E9" s="397"/>
      <c r="F9" s="397"/>
      <c r="G9" s="397"/>
      <c r="H9" s="398"/>
      <c r="I9" s="399"/>
      <c r="J9" s="400"/>
    </row>
    <row r="10" spans="1:10" s="22" customFormat="1" ht="20.100000000000001" customHeight="1" x14ac:dyDescent="0.3">
      <c r="A10" s="392">
        <v>4</v>
      </c>
      <c r="B10" s="393" t="s">
        <v>632</v>
      </c>
      <c r="C10" s="397"/>
      <c r="D10" s="397"/>
      <c r="E10" s="397"/>
      <c r="F10" s="397"/>
      <c r="G10" s="397"/>
      <c r="H10" s="398"/>
      <c r="I10" s="399"/>
      <c r="J10" s="400"/>
    </row>
    <row r="11" spans="1:10" s="22" customFormat="1" ht="20.100000000000001" customHeight="1" x14ac:dyDescent="0.3">
      <c r="A11" s="392"/>
      <c r="B11" s="393" t="s">
        <v>504</v>
      </c>
      <c r="C11" s="397"/>
      <c r="D11" s="397"/>
      <c r="E11" s="397"/>
      <c r="F11" s="397"/>
      <c r="G11" s="397"/>
      <c r="H11" s="398"/>
      <c r="I11" s="399"/>
      <c r="J11" s="400"/>
    </row>
    <row r="12" spans="1:10" s="22" customFormat="1" ht="20.100000000000001" customHeight="1" x14ac:dyDescent="0.3">
      <c r="A12" s="392">
        <v>5</v>
      </c>
      <c r="B12" s="401" t="s">
        <v>489</v>
      </c>
      <c r="C12" s="397"/>
      <c r="D12" s="397"/>
      <c r="E12" s="397"/>
      <c r="F12" s="397"/>
      <c r="G12" s="397"/>
      <c r="H12" s="398"/>
      <c r="I12" s="399"/>
      <c r="J12" s="400"/>
    </row>
    <row r="13" spans="1:10" s="22" customFormat="1" ht="20.100000000000001" customHeight="1" x14ac:dyDescent="0.3">
      <c r="A13" s="392"/>
      <c r="B13" s="401" t="s">
        <v>704</v>
      </c>
      <c r="C13" s="397"/>
      <c r="D13" s="397"/>
      <c r="E13" s="397"/>
      <c r="F13" s="397"/>
      <c r="G13" s="397"/>
      <c r="H13" s="398"/>
      <c r="I13" s="399"/>
      <c r="J13" s="400"/>
    </row>
    <row r="14" spans="1:10" s="22" customFormat="1" ht="21.95" customHeight="1" x14ac:dyDescent="0.3">
      <c r="A14" s="392">
        <v>6</v>
      </c>
      <c r="B14" s="393" t="s">
        <v>96</v>
      </c>
      <c r="C14" s="397"/>
      <c r="D14" s="397"/>
      <c r="E14" s="397"/>
      <c r="F14" s="397"/>
      <c r="G14" s="397"/>
      <c r="H14" s="398"/>
      <c r="I14" s="399"/>
      <c r="J14" s="400"/>
    </row>
    <row r="15" spans="1:10" s="22" customFormat="1" ht="30" customHeight="1" x14ac:dyDescent="0.3">
      <c r="A15" s="402"/>
      <c r="B15" s="403" t="s">
        <v>718</v>
      </c>
      <c r="C15" s="404"/>
      <c r="D15" s="404"/>
      <c r="E15" s="404"/>
      <c r="F15" s="404"/>
      <c r="G15" s="404"/>
      <c r="H15" s="404"/>
      <c r="I15" s="398"/>
      <c r="J15" s="400"/>
    </row>
    <row r="16" spans="1:10" ht="35.1" customHeight="1" x14ac:dyDescent="0.3">
      <c r="A16" s="156"/>
      <c r="B16" s="157"/>
      <c r="C16" s="157"/>
      <c r="D16" s="157"/>
      <c r="E16" s="158"/>
      <c r="F16" s="158"/>
      <c r="G16" s="158"/>
      <c r="H16" s="158"/>
      <c r="I16" s="158"/>
      <c r="J16" s="159"/>
    </row>
    <row r="17" spans="1:10" ht="20.25" customHeight="1" x14ac:dyDescent="0.3">
      <c r="A17" s="156"/>
      <c r="B17" s="160" t="s">
        <v>22</v>
      </c>
      <c r="C17" s="161" t="str">
        <f>IF(SelectSurvey=0, "N/A",IF(PDE_Min_Year="N/A","N/A",CONCATENATE(PDE_Min_Year," - ",PDE_Max_Year)))</f>
        <v>N/A</v>
      </c>
      <c r="D17" s="162"/>
      <c r="E17" s="162"/>
      <c r="F17" s="162"/>
      <c r="G17" s="162"/>
      <c r="H17" s="163"/>
      <c r="I17" s="163"/>
      <c r="J17" s="159"/>
    </row>
    <row r="18" spans="1:10" ht="20.25" customHeight="1" x14ac:dyDescent="0.3">
      <c r="A18" s="156"/>
      <c r="B18" s="160" t="s">
        <v>199</v>
      </c>
      <c r="C18" s="164" t="s">
        <v>403</v>
      </c>
      <c r="D18" s="165" t="str">
        <f>IF(OR(C18="Enter Start Year",C19="Enter End Year"),"",IF(C18&gt;C19,"Invalid year selections. Check the Start Year and End Year values.",""))</f>
        <v/>
      </c>
      <c r="E18" s="162"/>
      <c r="F18" s="162"/>
      <c r="G18" s="162"/>
      <c r="H18" s="163"/>
      <c r="I18" s="163"/>
      <c r="J18" s="159"/>
    </row>
    <row r="19" spans="1:10" ht="20.25" customHeight="1" x14ac:dyDescent="0.3">
      <c r="A19" s="156"/>
      <c r="B19" s="160" t="s">
        <v>200</v>
      </c>
      <c r="C19" s="166" t="s">
        <v>404</v>
      </c>
      <c r="D19" s="167"/>
      <c r="E19" s="162"/>
      <c r="F19" s="162"/>
      <c r="G19" s="162"/>
      <c r="H19" s="163"/>
      <c r="I19" s="163"/>
      <c r="J19" s="159"/>
    </row>
    <row r="20" spans="1:10" ht="20.25" customHeight="1" x14ac:dyDescent="0.3">
      <c r="A20" s="156"/>
      <c r="B20" s="156" t="str">
        <f>IF(AND(C17="N/A", SelectSurvey&lt;&gt;0),"NOTE: Not Available Based on NIA-funded study partner’s Current CMS Data Offering.",IF(AND(C17="N/A", SelectSurvey=0),"NOTE: In the Research Project Info tab, select a NIA-funded study partner to access data year availability information.",""))</f>
        <v>NOTE: In the Research Project Info tab, select a NIA-funded study partner to access data year availability information.</v>
      </c>
      <c r="C20" s="168"/>
      <c r="D20" s="163"/>
      <c r="E20" s="162"/>
      <c r="F20" s="162"/>
      <c r="G20" s="162"/>
      <c r="H20" s="163"/>
      <c r="I20" s="163"/>
      <c r="J20" s="156"/>
    </row>
    <row r="21" spans="1:10" ht="20.25" customHeight="1" x14ac:dyDescent="0.3">
      <c r="A21" s="156"/>
      <c r="B21" s="156"/>
      <c r="C21" s="168"/>
      <c r="D21" s="163"/>
      <c r="E21" s="162"/>
      <c r="F21" s="162"/>
      <c r="G21" s="162"/>
      <c r="H21" s="163"/>
      <c r="I21" s="163"/>
      <c r="J21" s="156"/>
    </row>
    <row r="22" spans="1:10" s="26" customFormat="1" ht="22.5" customHeight="1" x14ac:dyDescent="0.3">
      <c r="A22" s="169"/>
      <c r="B22" s="170" t="s">
        <v>665</v>
      </c>
      <c r="C22" s="171"/>
      <c r="D22" s="171"/>
      <c r="E22" s="171"/>
      <c r="F22" s="171"/>
      <c r="G22" s="171"/>
      <c r="H22" s="171"/>
      <c r="I22" s="172"/>
      <c r="J22" s="173"/>
    </row>
    <row r="23" spans="1:10" s="26" customFormat="1" ht="40.9" customHeight="1" thickBot="1" x14ac:dyDescent="0.35">
      <c r="A23" s="169"/>
      <c r="B23" s="350" t="s">
        <v>666</v>
      </c>
      <c r="C23" s="351"/>
      <c r="D23" s="351"/>
      <c r="E23" s="351"/>
      <c r="F23" s="351"/>
      <c r="G23" s="351"/>
      <c r="H23" s="174"/>
      <c r="I23" s="175"/>
      <c r="J23" s="173"/>
    </row>
    <row r="24" spans="1:10" s="26" customFormat="1" ht="79.5" customHeight="1" thickBot="1" x14ac:dyDescent="0.35">
      <c r="A24" s="176"/>
      <c r="B24" s="106" t="s">
        <v>156</v>
      </c>
      <c r="C24" s="106" t="s">
        <v>155</v>
      </c>
      <c r="D24" s="106" t="s">
        <v>719</v>
      </c>
      <c r="E24" s="106" t="s">
        <v>21</v>
      </c>
      <c r="F24" s="106" t="s">
        <v>84</v>
      </c>
      <c r="G24" s="105" t="s">
        <v>40</v>
      </c>
      <c r="H24" s="108" t="s">
        <v>313</v>
      </c>
      <c r="I24" s="110" t="s">
        <v>758</v>
      </c>
      <c r="J24" s="173"/>
    </row>
    <row r="25" spans="1:10" s="26" customFormat="1" ht="100.35" customHeight="1" thickBot="1" x14ac:dyDescent="0.35">
      <c r="A25" s="176"/>
      <c r="B25" s="177"/>
      <c r="C25" s="177"/>
      <c r="D25" s="177"/>
      <c r="E25" s="177"/>
      <c r="F25" s="178"/>
      <c r="G25" s="179"/>
      <c r="H25" s="284" t="s">
        <v>184</v>
      </c>
      <c r="I25" s="286"/>
      <c r="J25" s="173"/>
    </row>
    <row r="26" spans="1:10" s="26" customFormat="1" ht="128.25" customHeight="1" x14ac:dyDescent="0.3">
      <c r="A26" s="176"/>
      <c r="B26" s="115" t="s">
        <v>143</v>
      </c>
      <c r="C26" s="115" t="s">
        <v>138</v>
      </c>
      <c r="D26" s="115" t="s">
        <v>55</v>
      </c>
      <c r="E26" s="115" t="s">
        <v>43</v>
      </c>
      <c r="F26" s="115" t="s">
        <v>189</v>
      </c>
      <c r="G26" s="115" t="str">
        <f>IF(SelectSurvey=0,"In the Research Project Info tab, select a NIA-funded study partner to access variable availability information.",IF(C$17="N/A","Not Available Based on NIA-funded study partner’s Current CMS Data Offering.",VLOOKUP(VLOOKUP(CONCATENATE(StudyName,D26),PDE_Encryption_Lookup_Table,3,FALSE),Encryption_Lookup,2,FALSE)))</f>
        <v>In the Research Project Info tab, select a NIA-funded study partner to access variable availability information.</v>
      </c>
      <c r="H26" s="118" t="str">
        <f>IF(OR(G26="Not Available Based on NIA-funded study partner’s Current CMS Data Offering.", G26="Not available at this time"), "", IF(H$25="x","x", ""))</f>
        <v/>
      </c>
      <c r="I26" s="180" t="str">
        <f>IF(AND(H26="X",I$25&lt;&gt;0),I$25,"")</f>
        <v/>
      </c>
      <c r="J26" s="181"/>
    </row>
    <row r="27" spans="1:10" s="26" customFormat="1" ht="55.35" customHeight="1" x14ac:dyDescent="0.3">
      <c r="A27" s="169"/>
      <c r="B27" s="182" t="s">
        <v>231</v>
      </c>
      <c r="C27" s="183"/>
      <c r="D27" s="183"/>
      <c r="E27" s="183"/>
      <c r="F27" s="184"/>
      <c r="G27" s="184"/>
      <c r="H27" s="185"/>
      <c r="I27" s="185"/>
      <c r="J27" s="181"/>
    </row>
    <row r="28" spans="1:10" s="26" customFormat="1" ht="22.5" customHeight="1" x14ac:dyDescent="0.3">
      <c r="A28" s="169"/>
      <c r="B28" s="170" t="s">
        <v>667</v>
      </c>
      <c r="C28" s="171"/>
      <c r="D28" s="171"/>
      <c r="E28" s="171"/>
      <c r="F28" s="171"/>
      <c r="G28" s="171"/>
      <c r="H28" s="171"/>
      <c r="I28" s="172"/>
      <c r="J28" s="181"/>
    </row>
    <row r="29" spans="1:10" s="26" customFormat="1" ht="43.9" customHeight="1" thickBot="1" x14ac:dyDescent="0.35">
      <c r="A29" s="169"/>
      <c r="B29" s="350" t="s">
        <v>672</v>
      </c>
      <c r="C29" s="351"/>
      <c r="D29" s="351"/>
      <c r="E29" s="351"/>
      <c r="F29" s="351"/>
      <c r="G29" s="351"/>
      <c r="H29" s="186"/>
      <c r="I29" s="187"/>
      <c r="J29" s="173"/>
    </row>
    <row r="30" spans="1:10" s="26" customFormat="1" ht="79.5" customHeight="1" thickBot="1" x14ac:dyDescent="0.35">
      <c r="A30" s="176"/>
      <c r="B30" s="106" t="s">
        <v>156</v>
      </c>
      <c r="C30" s="106" t="s">
        <v>155</v>
      </c>
      <c r="D30" s="106" t="s">
        <v>719</v>
      </c>
      <c r="E30" s="106" t="s">
        <v>21</v>
      </c>
      <c r="F30" s="106" t="s">
        <v>84</v>
      </c>
      <c r="G30" s="105" t="s">
        <v>40</v>
      </c>
      <c r="H30" s="108" t="s">
        <v>314</v>
      </c>
      <c r="I30" s="110" t="s">
        <v>759</v>
      </c>
      <c r="J30" s="181"/>
    </row>
    <row r="31" spans="1:10" s="26" customFormat="1" ht="100.35" customHeight="1" thickBot="1" x14ac:dyDescent="0.35">
      <c r="A31" s="176"/>
      <c r="B31" s="177"/>
      <c r="C31" s="177"/>
      <c r="D31" s="177"/>
      <c r="E31" s="177"/>
      <c r="F31" s="178"/>
      <c r="G31" s="179"/>
      <c r="H31" s="284" t="s">
        <v>184</v>
      </c>
      <c r="I31" s="286"/>
      <c r="J31" s="181"/>
    </row>
    <row r="32" spans="1:10" s="26" customFormat="1" ht="128.25" customHeight="1" x14ac:dyDescent="0.3">
      <c r="A32" s="176"/>
      <c r="B32" s="115" t="s">
        <v>141</v>
      </c>
      <c r="C32" s="115" t="s">
        <v>140</v>
      </c>
      <c r="D32" s="115" t="s">
        <v>51</v>
      </c>
      <c r="E32" s="115" t="s">
        <v>48</v>
      </c>
      <c r="F32" s="115" t="s">
        <v>81</v>
      </c>
      <c r="G32" s="115" t="str">
        <f t="shared" ref="G32:G43" si="0">IF(SelectSurvey=0,"In the Research Project Info tab, select a NIA-funded study partner to access variable availability information.",IF(C$17="N/A","Not Available Based on NIA-funded study partner’s Current CMS Data Offering.",VLOOKUP(VLOOKUP(CONCATENATE(StudyName,D32),PDE_Encryption_Lookup_Table,3,FALSE),Encryption_Lookup,2,FALSE)))</f>
        <v>In the Research Project Info tab, select a NIA-funded study partner to access variable availability information.</v>
      </c>
      <c r="H32" s="188" t="str">
        <f t="shared" ref="H32:H43" si="1">IF(OR(G32="Not Available Based on NIA-funded study partner’s Current CMS Data Offering.", G32="Not available at this time"), "", IF(H$31="x","x", ""))</f>
        <v/>
      </c>
      <c r="I32" s="146" t="str">
        <f>IF(AND(H32="X",I$31&lt;&gt;0),I$31,"")</f>
        <v/>
      </c>
      <c r="J32" s="181"/>
    </row>
    <row r="33" spans="1:10" s="26" customFormat="1" ht="128.25" customHeight="1" x14ac:dyDescent="0.3">
      <c r="A33" s="176"/>
      <c r="B33" s="115" t="s">
        <v>145</v>
      </c>
      <c r="C33" s="115" t="s">
        <v>140</v>
      </c>
      <c r="D33" s="115" t="s">
        <v>144</v>
      </c>
      <c r="E33" s="115" t="s">
        <v>47</v>
      </c>
      <c r="F33" s="115" t="s">
        <v>161</v>
      </c>
      <c r="G33" s="115" t="str">
        <f t="shared" si="0"/>
        <v>In the Research Project Info tab, select a NIA-funded study partner to access variable availability information.</v>
      </c>
      <c r="H33" s="189" t="str">
        <f t="shared" si="1"/>
        <v/>
      </c>
      <c r="I33" s="146" t="str">
        <f t="shared" ref="I33:I43" si="2">IF(AND(H33="X",I$31&lt;&gt;0),I$31,"")</f>
        <v/>
      </c>
      <c r="J33" s="181"/>
    </row>
    <row r="34" spans="1:10" s="26" customFormat="1" ht="128.25" customHeight="1" x14ac:dyDescent="0.3">
      <c r="A34" s="176"/>
      <c r="B34" s="115" t="s">
        <v>143</v>
      </c>
      <c r="C34" s="115" t="s">
        <v>140</v>
      </c>
      <c r="D34" s="115" t="s">
        <v>146</v>
      </c>
      <c r="E34" s="115" t="s">
        <v>162</v>
      </c>
      <c r="F34" s="115" t="s">
        <v>163</v>
      </c>
      <c r="G34" s="115" t="str">
        <f t="shared" si="0"/>
        <v>In the Research Project Info tab, select a NIA-funded study partner to access variable availability information.</v>
      </c>
      <c r="H34" s="189" t="str">
        <f t="shared" si="1"/>
        <v/>
      </c>
      <c r="I34" s="146" t="str">
        <f t="shared" si="2"/>
        <v/>
      </c>
      <c r="J34" s="181"/>
    </row>
    <row r="35" spans="1:10" s="26" customFormat="1" ht="128.25" customHeight="1" x14ac:dyDescent="0.3">
      <c r="A35" s="176"/>
      <c r="B35" s="115" t="s">
        <v>145</v>
      </c>
      <c r="C35" s="115" t="s">
        <v>140</v>
      </c>
      <c r="D35" s="115" t="s">
        <v>52</v>
      </c>
      <c r="E35" s="115" t="s">
        <v>42</v>
      </c>
      <c r="F35" s="115" t="s">
        <v>227</v>
      </c>
      <c r="G35" s="115" t="str">
        <f t="shared" si="0"/>
        <v>In the Research Project Info tab, select a NIA-funded study partner to access variable availability information.</v>
      </c>
      <c r="H35" s="189" t="str">
        <f t="shared" si="1"/>
        <v/>
      </c>
      <c r="I35" s="146" t="str">
        <f t="shared" si="2"/>
        <v/>
      </c>
      <c r="J35" s="181"/>
    </row>
    <row r="36" spans="1:10" s="26" customFormat="1" ht="128.25" customHeight="1" x14ac:dyDescent="0.3">
      <c r="A36" s="176"/>
      <c r="B36" s="115" t="s">
        <v>143</v>
      </c>
      <c r="C36" s="115" t="s">
        <v>140</v>
      </c>
      <c r="D36" s="115" t="s">
        <v>56</v>
      </c>
      <c r="E36" s="115" t="s">
        <v>46</v>
      </c>
      <c r="F36" s="115" t="s">
        <v>229</v>
      </c>
      <c r="G36" s="115" t="str">
        <f t="shared" si="0"/>
        <v>In the Research Project Info tab, select a NIA-funded study partner to access variable availability information.</v>
      </c>
      <c r="H36" s="189" t="str">
        <f t="shared" si="1"/>
        <v/>
      </c>
      <c r="I36" s="146" t="str">
        <f t="shared" si="2"/>
        <v/>
      </c>
      <c r="J36" s="181"/>
    </row>
    <row r="37" spans="1:10" s="26" customFormat="1" ht="128.25" customHeight="1" x14ac:dyDescent="0.3">
      <c r="A37" s="176"/>
      <c r="B37" s="115" t="s">
        <v>143</v>
      </c>
      <c r="C37" s="115" t="s">
        <v>140</v>
      </c>
      <c r="D37" s="115" t="s">
        <v>58</v>
      </c>
      <c r="E37" s="115" t="s">
        <v>44</v>
      </c>
      <c r="F37" s="115" t="s">
        <v>190</v>
      </c>
      <c r="G37" s="115" t="str">
        <f t="shared" si="0"/>
        <v>In the Research Project Info tab, select a NIA-funded study partner to access variable availability information.</v>
      </c>
      <c r="H37" s="189" t="str">
        <f t="shared" si="1"/>
        <v/>
      </c>
      <c r="I37" s="146" t="str">
        <f t="shared" si="2"/>
        <v/>
      </c>
      <c r="J37" s="181"/>
    </row>
    <row r="38" spans="1:10" s="26" customFormat="1" ht="128.25" customHeight="1" x14ac:dyDescent="0.3">
      <c r="A38" s="176"/>
      <c r="B38" s="115" t="s">
        <v>143</v>
      </c>
      <c r="C38" s="115" t="s">
        <v>140</v>
      </c>
      <c r="D38" s="115" t="s">
        <v>59</v>
      </c>
      <c r="E38" s="115" t="s">
        <v>0</v>
      </c>
      <c r="F38" s="115" t="s">
        <v>228</v>
      </c>
      <c r="G38" s="115" t="str">
        <f t="shared" si="0"/>
        <v>In the Research Project Info tab, select a NIA-funded study partner to access variable availability information.</v>
      </c>
      <c r="H38" s="189" t="str">
        <f t="shared" si="1"/>
        <v/>
      </c>
      <c r="I38" s="146" t="str">
        <f t="shared" si="2"/>
        <v/>
      </c>
      <c r="J38" s="181"/>
    </row>
    <row r="39" spans="1:10" s="26" customFormat="1" ht="176.85" customHeight="1" x14ac:dyDescent="0.3">
      <c r="A39" s="176"/>
      <c r="B39" s="115" t="s">
        <v>143</v>
      </c>
      <c r="C39" s="115" t="s">
        <v>140</v>
      </c>
      <c r="D39" s="115" t="s">
        <v>60</v>
      </c>
      <c r="E39" s="115" t="s">
        <v>1</v>
      </c>
      <c r="F39" s="115" t="s">
        <v>191</v>
      </c>
      <c r="G39" s="115" t="str">
        <f t="shared" si="0"/>
        <v>In the Research Project Info tab, select a NIA-funded study partner to access variable availability information.</v>
      </c>
      <c r="H39" s="189" t="str">
        <f t="shared" si="1"/>
        <v/>
      </c>
      <c r="I39" s="146" t="str">
        <f t="shared" si="2"/>
        <v/>
      </c>
      <c r="J39" s="181"/>
    </row>
    <row r="40" spans="1:10" s="26" customFormat="1" ht="128.25" customHeight="1" x14ac:dyDescent="0.3">
      <c r="A40" s="176"/>
      <c r="B40" s="115" t="s">
        <v>143</v>
      </c>
      <c r="C40" s="115" t="s">
        <v>140</v>
      </c>
      <c r="D40" s="115" t="s">
        <v>61</v>
      </c>
      <c r="E40" s="115" t="s">
        <v>3</v>
      </c>
      <c r="F40" s="115" t="s">
        <v>164</v>
      </c>
      <c r="G40" s="115" t="str">
        <f t="shared" si="0"/>
        <v>In the Research Project Info tab, select a NIA-funded study partner to access variable availability information.</v>
      </c>
      <c r="H40" s="189" t="str">
        <f t="shared" si="1"/>
        <v/>
      </c>
      <c r="I40" s="146" t="str">
        <f t="shared" si="2"/>
        <v/>
      </c>
      <c r="J40" s="181"/>
    </row>
    <row r="41" spans="1:10" s="26" customFormat="1" ht="128.25" customHeight="1" x14ac:dyDescent="0.3">
      <c r="A41" s="176"/>
      <c r="B41" s="115" t="s">
        <v>145</v>
      </c>
      <c r="C41" s="115" t="s">
        <v>140</v>
      </c>
      <c r="D41" s="115" t="s">
        <v>62</v>
      </c>
      <c r="E41" s="115" t="s">
        <v>2</v>
      </c>
      <c r="F41" s="115" t="s">
        <v>12</v>
      </c>
      <c r="G41" s="115" t="str">
        <f t="shared" si="0"/>
        <v>In the Research Project Info tab, select a NIA-funded study partner to access variable availability information.</v>
      </c>
      <c r="H41" s="189" t="str">
        <f t="shared" si="1"/>
        <v/>
      </c>
      <c r="I41" s="146" t="str">
        <f t="shared" si="2"/>
        <v/>
      </c>
      <c r="J41" s="181"/>
    </row>
    <row r="42" spans="1:10" s="26" customFormat="1" ht="128.25" customHeight="1" x14ac:dyDescent="0.3">
      <c r="A42" s="176"/>
      <c r="B42" s="115" t="s">
        <v>143</v>
      </c>
      <c r="C42" s="115" t="s">
        <v>140</v>
      </c>
      <c r="D42" s="115" t="s">
        <v>65</v>
      </c>
      <c r="E42" s="115" t="s">
        <v>15</v>
      </c>
      <c r="F42" s="115" t="s">
        <v>192</v>
      </c>
      <c r="G42" s="115" t="str">
        <f t="shared" si="0"/>
        <v>In the Research Project Info tab, select a NIA-funded study partner to access variable availability information.</v>
      </c>
      <c r="H42" s="189" t="str">
        <f t="shared" si="1"/>
        <v/>
      </c>
      <c r="I42" s="146" t="str">
        <f t="shared" si="2"/>
        <v/>
      </c>
      <c r="J42" s="181"/>
    </row>
    <row r="43" spans="1:10" s="26" customFormat="1" ht="128.25" customHeight="1" x14ac:dyDescent="0.3">
      <c r="A43" s="176"/>
      <c r="B43" s="115" t="s">
        <v>143</v>
      </c>
      <c r="C43" s="115" t="s">
        <v>142</v>
      </c>
      <c r="D43" s="115" t="s">
        <v>64</v>
      </c>
      <c r="E43" s="115" t="s">
        <v>5</v>
      </c>
      <c r="F43" s="115" t="s">
        <v>193</v>
      </c>
      <c r="G43" s="115" t="str">
        <f t="shared" si="0"/>
        <v>In the Research Project Info tab, select a NIA-funded study partner to access variable availability information.</v>
      </c>
      <c r="H43" s="121" t="str">
        <f t="shared" si="1"/>
        <v/>
      </c>
      <c r="I43" s="146" t="str">
        <f t="shared" si="2"/>
        <v/>
      </c>
      <c r="J43" s="181"/>
    </row>
    <row r="44" spans="1:10" s="26" customFormat="1" ht="55.35" customHeight="1" x14ac:dyDescent="0.3">
      <c r="A44" s="169"/>
      <c r="B44" s="182" t="s">
        <v>231</v>
      </c>
      <c r="C44" s="183"/>
      <c r="D44" s="183"/>
      <c r="E44" s="183"/>
      <c r="F44" s="190"/>
      <c r="G44" s="184"/>
      <c r="H44" s="185"/>
      <c r="I44" s="185"/>
      <c r="J44" s="181"/>
    </row>
    <row r="45" spans="1:10" s="26" customFormat="1" ht="22.5" customHeight="1" x14ac:dyDescent="0.3">
      <c r="A45" s="169"/>
      <c r="B45" s="170" t="s">
        <v>668</v>
      </c>
      <c r="C45" s="171"/>
      <c r="D45" s="171"/>
      <c r="E45" s="171"/>
      <c r="F45" s="171"/>
      <c r="G45" s="171"/>
      <c r="H45" s="171"/>
      <c r="I45" s="172"/>
      <c r="J45" s="181"/>
    </row>
    <row r="46" spans="1:10" s="26" customFormat="1" ht="38.450000000000003" customHeight="1" thickBot="1" x14ac:dyDescent="0.35">
      <c r="A46" s="169"/>
      <c r="B46" s="350" t="s">
        <v>669</v>
      </c>
      <c r="C46" s="351"/>
      <c r="D46" s="351"/>
      <c r="E46" s="351"/>
      <c r="F46" s="351"/>
      <c r="G46" s="351"/>
      <c r="H46" s="186"/>
      <c r="I46" s="187"/>
      <c r="J46" s="173"/>
    </row>
    <row r="47" spans="1:10" s="26" customFormat="1" ht="79.5" customHeight="1" thickBot="1" x14ac:dyDescent="0.35">
      <c r="A47" s="176"/>
      <c r="B47" s="106" t="s">
        <v>156</v>
      </c>
      <c r="C47" s="106" t="s">
        <v>155</v>
      </c>
      <c r="D47" s="106" t="s">
        <v>719</v>
      </c>
      <c r="E47" s="106" t="s">
        <v>21</v>
      </c>
      <c r="F47" s="106" t="s">
        <v>84</v>
      </c>
      <c r="G47" s="105" t="s">
        <v>40</v>
      </c>
      <c r="H47" s="108" t="s">
        <v>315</v>
      </c>
      <c r="I47" s="110" t="s">
        <v>760</v>
      </c>
      <c r="J47" s="181"/>
    </row>
    <row r="48" spans="1:10" s="26" customFormat="1" ht="100.35" customHeight="1" thickBot="1" x14ac:dyDescent="0.35">
      <c r="A48" s="176"/>
      <c r="B48" s="177"/>
      <c r="C48" s="177"/>
      <c r="D48" s="177"/>
      <c r="E48" s="177"/>
      <c r="F48" s="178"/>
      <c r="G48" s="179"/>
      <c r="H48" s="284" t="s">
        <v>184</v>
      </c>
      <c r="I48" s="286"/>
      <c r="J48" s="181"/>
    </row>
    <row r="49" spans="1:10" s="26" customFormat="1" ht="128.25" customHeight="1" x14ac:dyDescent="0.3">
      <c r="A49" s="176"/>
      <c r="B49" s="115" t="s">
        <v>145</v>
      </c>
      <c r="C49" s="115" t="s">
        <v>122</v>
      </c>
      <c r="D49" s="115" t="s">
        <v>53</v>
      </c>
      <c r="E49" s="115" t="s">
        <v>41</v>
      </c>
      <c r="F49" s="115" t="s">
        <v>165</v>
      </c>
      <c r="G49" s="115" t="str">
        <f t="shared" ref="G49:G64" si="3">IF(SelectSurvey=0,"In the Research Project Info tab, select a NIA-funded study partner to access variable availability information.",IF(C$17="N/A","Not Available Based on NIA-funded study partner’s Current CMS Data Offering.",VLOOKUP(VLOOKUP(CONCATENATE(StudyName,D49),PDE_Encryption_Lookup_Table,3,FALSE),Encryption_Lookup,2,FALSE)))</f>
        <v>In the Research Project Info tab, select a NIA-funded study partner to access variable availability information.</v>
      </c>
      <c r="H49" s="191" t="str">
        <f t="shared" ref="H49:H64" si="4">IF(OR(G49="Not Available Based on NIA-funded study partner’s Current CMS Data Offering.", G49="Not available at this time"), "", IF(H$48="x","x", ""))</f>
        <v/>
      </c>
      <c r="I49" s="146" t="str">
        <f>IF(AND(H49="X",I$48&lt;&gt;0),I$48,"")</f>
        <v/>
      </c>
      <c r="J49" s="181"/>
    </row>
    <row r="50" spans="1:10" s="26" customFormat="1" ht="128.25" customHeight="1" x14ac:dyDescent="0.3">
      <c r="A50" s="176"/>
      <c r="B50" s="115" t="s">
        <v>143</v>
      </c>
      <c r="C50" s="115" t="s">
        <v>147</v>
      </c>
      <c r="D50" s="115" t="s">
        <v>57</v>
      </c>
      <c r="E50" s="115" t="s">
        <v>45</v>
      </c>
      <c r="F50" s="115" t="s">
        <v>194</v>
      </c>
      <c r="G50" s="115" t="str">
        <f t="shared" si="3"/>
        <v>In the Research Project Info tab, select a NIA-funded study partner to access variable availability information.</v>
      </c>
      <c r="H50" s="191" t="str">
        <f t="shared" si="4"/>
        <v/>
      </c>
      <c r="I50" s="146" t="str">
        <f t="shared" ref="I50:I64" si="5">IF(AND(H50="X",I$48&lt;&gt;0),I$48,"")</f>
        <v/>
      </c>
      <c r="J50" s="181"/>
    </row>
    <row r="51" spans="1:10" ht="128.25" customHeight="1" x14ac:dyDescent="0.3">
      <c r="A51" s="192"/>
      <c r="B51" s="115" t="s">
        <v>145</v>
      </c>
      <c r="C51" s="115" t="s">
        <v>147</v>
      </c>
      <c r="D51" s="115" t="s">
        <v>73</v>
      </c>
      <c r="E51" s="115" t="s">
        <v>16</v>
      </c>
      <c r="F51" s="115" t="s">
        <v>176</v>
      </c>
      <c r="G51" s="115" t="str">
        <f t="shared" si="3"/>
        <v>In the Research Project Info tab, select a NIA-funded study partner to access variable availability information.</v>
      </c>
      <c r="H51" s="191" t="str">
        <f t="shared" si="4"/>
        <v/>
      </c>
      <c r="I51" s="146" t="str">
        <f t="shared" si="5"/>
        <v/>
      </c>
      <c r="J51" s="181"/>
    </row>
    <row r="52" spans="1:10" ht="128.25" customHeight="1" x14ac:dyDescent="0.3">
      <c r="A52" s="192"/>
      <c r="B52" s="115" t="s">
        <v>143</v>
      </c>
      <c r="C52" s="115" t="s">
        <v>147</v>
      </c>
      <c r="D52" s="115" t="s">
        <v>74</v>
      </c>
      <c r="E52" s="115" t="s">
        <v>6</v>
      </c>
      <c r="F52" s="115" t="s">
        <v>198</v>
      </c>
      <c r="G52" s="115" t="str">
        <f t="shared" si="3"/>
        <v>In the Research Project Info tab, select a NIA-funded study partner to access variable availability information.</v>
      </c>
      <c r="H52" s="191" t="str">
        <f t="shared" si="4"/>
        <v/>
      </c>
      <c r="I52" s="146" t="str">
        <f t="shared" si="5"/>
        <v/>
      </c>
      <c r="J52" s="181"/>
    </row>
    <row r="53" spans="1:10" ht="128.25" customHeight="1" x14ac:dyDescent="0.3">
      <c r="A53" s="192"/>
      <c r="B53" s="115" t="s">
        <v>143</v>
      </c>
      <c r="C53" s="115" t="s">
        <v>147</v>
      </c>
      <c r="D53" s="115" t="s">
        <v>157</v>
      </c>
      <c r="E53" s="115" t="s">
        <v>159</v>
      </c>
      <c r="F53" s="115" t="s">
        <v>197</v>
      </c>
      <c r="G53" s="115" t="str">
        <f t="shared" si="3"/>
        <v>In the Research Project Info tab, select a NIA-funded study partner to access variable availability information.</v>
      </c>
      <c r="H53" s="191" t="str">
        <f t="shared" si="4"/>
        <v/>
      </c>
      <c r="I53" s="146" t="str">
        <f t="shared" si="5"/>
        <v/>
      </c>
      <c r="J53" s="181"/>
    </row>
    <row r="54" spans="1:10" ht="128.25" customHeight="1" x14ac:dyDescent="0.3">
      <c r="A54" s="192"/>
      <c r="B54" s="115" t="s">
        <v>143</v>
      </c>
      <c r="C54" s="115" t="s">
        <v>147</v>
      </c>
      <c r="D54" s="115" t="s">
        <v>158</v>
      </c>
      <c r="E54" s="115" t="s">
        <v>160</v>
      </c>
      <c r="F54" s="115" t="s">
        <v>197</v>
      </c>
      <c r="G54" s="115" t="str">
        <f t="shared" si="3"/>
        <v>In the Research Project Info tab, select a NIA-funded study partner to access variable availability information.</v>
      </c>
      <c r="H54" s="191" t="str">
        <f t="shared" si="4"/>
        <v/>
      </c>
      <c r="I54" s="146" t="str">
        <f t="shared" si="5"/>
        <v/>
      </c>
      <c r="J54" s="181"/>
    </row>
    <row r="55" spans="1:10" s="26" customFormat="1" ht="128.25" customHeight="1" x14ac:dyDescent="0.3">
      <c r="A55" s="176"/>
      <c r="B55" s="115" t="s">
        <v>143</v>
      </c>
      <c r="C55" s="115" t="s">
        <v>147</v>
      </c>
      <c r="D55" s="115" t="s">
        <v>148</v>
      </c>
      <c r="E55" s="115" t="s">
        <v>14</v>
      </c>
      <c r="F55" s="115" t="s">
        <v>196</v>
      </c>
      <c r="G55" s="115" t="str">
        <f t="shared" si="3"/>
        <v>In the Research Project Info tab, select a NIA-funded study partner to access variable availability information.</v>
      </c>
      <c r="H55" s="191" t="str">
        <f t="shared" si="4"/>
        <v/>
      </c>
      <c r="I55" s="146" t="str">
        <f t="shared" si="5"/>
        <v/>
      </c>
      <c r="J55" s="181"/>
    </row>
    <row r="56" spans="1:10" s="26" customFormat="1" ht="148.5" x14ac:dyDescent="0.3">
      <c r="A56" s="176"/>
      <c r="B56" s="115" t="s">
        <v>145</v>
      </c>
      <c r="C56" s="115" t="s">
        <v>147</v>
      </c>
      <c r="D56" s="115" t="s">
        <v>67</v>
      </c>
      <c r="E56" s="115" t="s">
        <v>7</v>
      </c>
      <c r="F56" s="115" t="s">
        <v>170</v>
      </c>
      <c r="G56" s="115" t="str">
        <f t="shared" si="3"/>
        <v>In the Research Project Info tab, select a NIA-funded study partner to access variable availability information.</v>
      </c>
      <c r="H56" s="191" t="str">
        <f t="shared" si="4"/>
        <v/>
      </c>
      <c r="I56" s="146" t="str">
        <f t="shared" si="5"/>
        <v/>
      </c>
      <c r="J56" s="181"/>
    </row>
    <row r="57" spans="1:10" s="26" customFormat="1" ht="148.5" x14ac:dyDescent="0.3">
      <c r="A57" s="176"/>
      <c r="B57" s="115" t="s">
        <v>145</v>
      </c>
      <c r="C57" s="115" t="s">
        <v>147</v>
      </c>
      <c r="D57" s="115" t="s">
        <v>66</v>
      </c>
      <c r="E57" s="115" t="s">
        <v>168</v>
      </c>
      <c r="F57" s="115" t="s">
        <v>169</v>
      </c>
      <c r="G57" s="115" t="str">
        <f t="shared" si="3"/>
        <v>In the Research Project Info tab, select a NIA-funded study partner to access variable availability information.</v>
      </c>
      <c r="H57" s="191" t="str">
        <f t="shared" si="4"/>
        <v/>
      </c>
      <c r="I57" s="146" t="str">
        <f t="shared" si="5"/>
        <v/>
      </c>
      <c r="J57" s="181"/>
    </row>
    <row r="58" spans="1:10" s="26" customFormat="1" ht="128.25" customHeight="1" x14ac:dyDescent="0.3">
      <c r="A58" s="176"/>
      <c r="B58" s="115" t="s">
        <v>145</v>
      </c>
      <c r="C58" s="115" t="s">
        <v>123</v>
      </c>
      <c r="D58" s="115" t="s">
        <v>69</v>
      </c>
      <c r="E58" s="115" t="s">
        <v>9</v>
      </c>
      <c r="F58" s="115" t="s">
        <v>172</v>
      </c>
      <c r="G58" s="115" t="str">
        <f t="shared" si="3"/>
        <v>In the Research Project Info tab, select a NIA-funded study partner to access variable availability information.</v>
      </c>
      <c r="H58" s="191" t="str">
        <f t="shared" si="4"/>
        <v/>
      </c>
      <c r="I58" s="146" t="str">
        <f t="shared" si="5"/>
        <v/>
      </c>
      <c r="J58" s="181"/>
    </row>
    <row r="59" spans="1:10" s="26" customFormat="1" ht="128.25" customHeight="1" x14ac:dyDescent="0.3">
      <c r="A59" s="176"/>
      <c r="B59" s="115" t="s">
        <v>495</v>
      </c>
      <c r="C59" s="115" t="s">
        <v>145</v>
      </c>
      <c r="D59" s="115" t="s">
        <v>151</v>
      </c>
      <c r="E59" s="115" t="s">
        <v>10</v>
      </c>
      <c r="F59" s="115" t="s">
        <v>230</v>
      </c>
      <c r="G59" s="115" t="str">
        <f t="shared" si="3"/>
        <v>In the Research Project Info tab, select a NIA-funded study partner to access variable availability information.</v>
      </c>
      <c r="H59" s="191" t="str">
        <f t="shared" si="4"/>
        <v/>
      </c>
      <c r="I59" s="146" t="str">
        <f t="shared" si="5"/>
        <v/>
      </c>
      <c r="J59" s="181"/>
    </row>
    <row r="60" spans="1:10" s="26" customFormat="1" ht="128.25" customHeight="1" x14ac:dyDescent="0.3">
      <c r="A60" s="176"/>
      <c r="B60" s="115" t="s">
        <v>495</v>
      </c>
      <c r="C60" s="115" t="s">
        <v>145</v>
      </c>
      <c r="D60" s="115" t="s">
        <v>72</v>
      </c>
      <c r="E60" s="115" t="s">
        <v>71</v>
      </c>
      <c r="F60" s="115" t="s">
        <v>175</v>
      </c>
      <c r="G60" s="115" t="str">
        <f t="shared" si="3"/>
        <v>In the Research Project Info tab, select a NIA-funded study partner to access variable availability information.</v>
      </c>
      <c r="H60" s="191" t="str">
        <f t="shared" si="4"/>
        <v/>
      </c>
      <c r="I60" s="146" t="str">
        <f t="shared" si="5"/>
        <v/>
      </c>
      <c r="J60" s="181"/>
    </row>
    <row r="61" spans="1:10" s="26" customFormat="1" ht="128.25" customHeight="1" x14ac:dyDescent="0.3">
      <c r="A61" s="176"/>
      <c r="B61" s="115" t="s">
        <v>143</v>
      </c>
      <c r="C61" s="115" t="s">
        <v>142</v>
      </c>
      <c r="D61" s="115" t="s">
        <v>63</v>
      </c>
      <c r="E61" s="115" t="s">
        <v>4</v>
      </c>
      <c r="F61" s="115" t="s">
        <v>195</v>
      </c>
      <c r="G61" s="115" t="str">
        <f t="shared" si="3"/>
        <v>In the Research Project Info tab, select a NIA-funded study partner to access variable availability information.</v>
      </c>
      <c r="H61" s="191" t="str">
        <f t="shared" si="4"/>
        <v/>
      </c>
      <c r="I61" s="146" t="str">
        <f t="shared" si="5"/>
        <v/>
      </c>
      <c r="J61" s="181"/>
    </row>
    <row r="62" spans="1:10" s="26" customFormat="1" ht="128.25" customHeight="1" x14ac:dyDescent="0.3">
      <c r="A62" s="176"/>
      <c r="B62" s="115" t="s">
        <v>145</v>
      </c>
      <c r="C62" s="115" t="s">
        <v>150</v>
      </c>
      <c r="D62" s="115" t="s">
        <v>68</v>
      </c>
      <c r="E62" s="115" t="s">
        <v>8</v>
      </c>
      <c r="F62" s="115" t="s">
        <v>171</v>
      </c>
      <c r="G62" s="115" t="str">
        <f t="shared" si="3"/>
        <v>In the Research Project Info tab, select a NIA-funded study partner to access variable availability information.</v>
      </c>
      <c r="H62" s="191" t="str">
        <f t="shared" si="4"/>
        <v/>
      </c>
      <c r="I62" s="146" t="str">
        <f t="shared" si="5"/>
        <v/>
      </c>
      <c r="J62" s="181"/>
    </row>
    <row r="63" spans="1:10" s="26" customFormat="1" ht="128.25" customHeight="1" x14ac:dyDescent="0.3">
      <c r="A63" s="176"/>
      <c r="B63" s="115" t="s">
        <v>145</v>
      </c>
      <c r="C63" s="115" t="s">
        <v>150</v>
      </c>
      <c r="D63" s="115" t="s">
        <v>70</v>
      </c>
      <c r="E63" s="115" t="s">
        <v>173</v>
      </c>
      <c r="F63" s="115" t="s">
        <v>174</v>
      </c>
      <c r="G63" s="115" t="str">
        <f t="shared" si="3"/>
        <v>In the Research Project Info tab, select a NIA-funded study partner to access variable availability information.</v>
      </c>
      <c r="H63" s="191" t="str">
        <f t="shared" si="4"/>
        <v/>
      </c>
      <c r="I63" s="146" t="str">
        <f t="shared" si="5"/>
        <v/>
      </c>
      <c r="J63" s="181"/>
    </row>
    <row r="64" spans="1:10" s="26" customFormat="1" ht="165" x14ac:dyDescent="0.3">
      <c r="A64" s="176"/>
      <c r="B64" s="115" t="s">
        <v>145</v>
      </c>
      <c r="C64" s="115" t="s">
        <v>109</v>
      </c>
      <c r="D64" s="115" t="s">
        <v>54</v>
      </c>
      <c r="E64" s="115" t="s">
        <v>166</v>
      </c>
      <c r="F64" s="115" t="s">
        <v>167</v>
      </c>
      <c r="G64" s="115" t="str">
        <f t="shared" si="3"/>
        <v>In the Research Project Info tab, select a NIA-funded study partner to access variable availability information.</v>
      </c>
      <c r="H64" s="191" t="str">
        <f t="shared" si="4"/>
        <v/>
      </c>
      <c r="I64" s="146" t="str">
        <f t="shared" si="5"/>
        <v/>
      </c>
      <c r="J64" s="181"/>
    </row>
    <row r="65" spans="1:10" s="26" customFormat="1" ht="55.35" customHeight="1" x14ac:dyDescent="0.3">
      <c r="A65" s="169"/>
      <c r="B65" s="182" t="s">
        <v>231</v>
      </c>
      <c r="C65" s="183"/>
      <c r="D65" s="183"/>
      <c r="E65" s="183"/>
      <c r="F65" s="184"/>
      <c r="G65" s="184"/>
      <c r="H65" s="185"/>
      <c r="I65" s="185"/>
      <c r="J65" s="181"/>
    </row>
    <row r="66" spans="1:10" ht="25.35" customHeight="1" x14ac:dyDescent="0.3">
      <c r="A66" s="156"/>
      <c r="B66" s="170" t="s">
        <v>670</v>
      </c>
      <c r="C66" s="171"/>
      <c r="D66" s="171"/>
      <c r="E66" s="171"/>
      <c r="F66" s="171"/>
      <c r="G66" s="171"/>
      <c r="H66" s="171"/>
      <c r="I66" s="172"/>
      <c r="J66" s="181"/>
    </row>
    <row r="67" spans="1:10" s="26" customFormat="1" ht="37.9" customHeight="1" thickBot="1" x14ac:dyDescent="0.35">
      <c r="A67" s="169"/>
      <c r="B67" s="350" t="s">
        <v>671</v>
      </c>
      <c r="C67" s="351"/>
      <c r="D67" s="351"/>
      <c r="E67" s="351"/>
      <c r="F67" s="351"/>
      <c r="G67" s="351"/>
      <c r="H67" s="186"/>
      <c r="I67" s="187"/>
      <c r="J67" s="173"/>
    </row>
    <row r="68" spans="1:10" ht="79.5" customHeight="1" thickBot="1" x14ac:dyDescent="0.35">
      <c r="A68" s="192"/>
      <c r="B68" s="106" t="s">
        <v>156</v>
      </c>
      <c r="C68" s="106" t="s">
        <v>155</v>
      </c>
      <c r="D68" s="106" t="s">
        <v>719</v>
      </c>
      <c r="E68" s="106" t="s">
        <v>21</v>
      </c>
      <c r="F68" s="106" t="s">
        <v>84</v>
      </c>
      <c r="G68" s="105" t="s">
        <v>40</v>
      </c>
      <c r="H68" s="108" t="s">
        <v>316</v>
      </c>
      <c r="I68" s="110" t="s">
        <v>761</v>
      </c>
      <c r="J68" s="181"/>
    </row>
    <row r="69" spans="1:10" ht="100.35" customHeight="1" thickBot="1" x14ac:dyDescent="0.35">
      <c r="A69" s="192"/>
      <c r="B69" s="177"/>
      <c r="C69" s="177"/>
      <c r="D69" s="177"/>
      <c r="E69" s="177"/>
      <c r="F69" s="178"/>
      <c r="G69" s="179"/>
      <c r="H69" s="284" t="s">
        <v>184</v>
      </c>
      <c r="I69" s="286"/>
      <c r="J69" s="181"/>
    </row>
    <row r="70" spans="1:10" ht="128.25" customHeight="1" x14ac:dyDescent="0.3">
      <c r="A70" s="192"/>
      <c r="B70" s="115" t="s">
        <v>139</v>
      </c>
      <c r="C70" s="115" t="s">
        <v>149</v>
      </c>
      <c r="D70" s="115" t="s">
        <v>75</v>
      </c>
      <c r="E70" s="115" t="s">
        <v>17</v>
      </c>
      <c r="F70" s="115" t="s">
        <v>177</v>
      </c>
      <c r="G70" s="115" t="str">
        <f t="shared" ref="G70:G76" si="6">IF(SelectSurvey=0,"In the Research Project Info tab, select a NIA-funded study partner to access variable availability information.",IF(C$17="N/A","Not Available Based on NIA-funded study partner’s Current CMS Data Offering.",VLOOKUP(VLOOKUP(CONCATENATE(StudyName,D70),PDE_Encryption_Lookup_Table,3,FALSE),Encryption_Lookup,2,FALSE)))</f>
        <v>In the Research Project Info tab, select a NIA-funded study partner to access variable availability information.</v>
      </c>
      <c r="H70" s="193" t="str">
        <f t="shared" ref="H70:H76" si="7">IF(OR(G70="Not Available Based on NIA-funded study partner’s Current CMS Data Offering.", G70="Not available at this time"), "", IF(H$69="x","x", ""))</f>
        <v/>
      </c>
      <c r="I70" s="146" t="str">
        <f>IF(AND(H70="X",I$69&lt;&gt;0),I$69,"")</f>
        <v/>
      </c>
      <c r="J70" s="181"/>
    </row>
    <row r="71" spans="1:10" ht="128.25" customHeight="1" x14ac:dyDescent="0.3">
      <c r="A71" s="192"/>
      <c r="B71" s="115" t="s">
        <v>143</v>
      </c>
      <c r="C71" s="115" t="s">
        <v>149</v>
      </c>
      <c r="D71" s="115" t="s">
        <v>76</v>
      </c>
      <c r="E71" s="115" t="s">
        <v>18</v>
      </c>
      <c r="F71" s="115" t="s">
        <v>201</v>
      </c>
      <c r="G71" s="115" t="str">
        <f t="shared" si="6"/>
        <v>In the Research Project Info tab, select a NIA-funded study partner to access variable availability information.</v>
      </c>
      <c r="H71" s="194" t="str">
        <f t="shared" si="7"/>
        <v/>
      </c>
      <c r="I71" s="146" t="str">
        <f t="shared" ref="I71:I76" si="8">IF(AND(H71="X",I$69&lt;&gt;0),I$69,"")</f>
        <v/>
      </c>
      <c r="J71" s="181"/>
    </row>
    <row r="72" spans="1:10" s="26" customFormat="1" ht="128.25" customHeight="1" x14ac:dyDescent="0.3">
      <c r="A72" s="176"/>
      <c r="B72" s="115" t="s">
        <v>143</v>
      </c>
      <c r="C72" s="115" t="s">
        <v>149</v>
      </c>
      <c r="D72" s="115" t="s">
        <v>92</v>
      </c>
      <c r="E72" s="115" t="s">
        <v>179</v>
      </c>
      <c r="F72" s="115" t="s">
        <v>202</v>
      </c>
      <c r="G72" s="115" t="str">
        <f t="shared" si="6"/>
        <v>In the Research Project Info tab, select a NIA-funded study partner to access variable availability information.</v>
      </c>
      <c r="H72" s="194" t="str">
        <f t="shared" si="7"/>
        <v/>
      </c>
      <c r="I72" s="146" t="str">
        <f t="shared" si="8"/>
        <v/>
      </c>
      <c r="J72" s="181"/>
    </row>
    <row r="73" spans="1:10" ht="128.25" customHeight="1" x14ac:dyDescent="0.3">
      <c r="A73" s="192"/>
      <c r="B73" s="115" t="s">
        <v>139</v>
      </c>
      <c r="C73" s="115" t="s">
        <v>152</v>
      </c>
      <c r="D73" s="115" t="s">
        <v>79</v>
      </c>
      <c r="E73" s="115" t="s">
        <v>180</v>
      </c>
      <c r="F73" s="115" t="s">
        <v>181</v>
      </c>
      <c r="G73" s="115" t="str">
        <f t="shared" si="6"/>
        <v>In the Research Project Info tab, select a NIA-funded study partner to access variable availability information.</v>
      </c>
      <c r="H73" s="194" t="str">
        <f t="shared" si="7"/>
        <v/>
      </c>
      <c r="I73" s="146" t="str">
        <f t="shared" si="8"/>
        <v/>
      </c>
      <c r="J73" s="181"/>
    </row>
    <row r="74" spans="1:10" ht="128.25" customHeight="1" x14ac:dyDescent="0.3">
      <c r="A74" s="192"/>
      <c r="B74" s="115" t="s">
        <v>139</v>
      </c>
      <c r="C74" s="115" t="s">
        <v>152</v>
      </c>
      <c r="D74" s="115" t="s">
        <v>80</v>
      </c>
      <c r="E74" s="115" t="s">
        <v>182</v>
      </c>
      <c r="F74" s="115" t="s">
        <v>183</v>
      </c>
      <c r="G74" s="115" t="str">
        <f t="shared" si="6"/>
        <v>In the Research Project Info tab, select a NIA-funded study partner to access variable availability information.</v>
      </c>
      <c r="H74" s="194" t="str">
        <f t="shared" si="7"/>
        <v/>
      </c>
      <c r="I74" s="146" t="str">
        <f t="shared" si="8"/>
        <v/>
      </c>
      <c r="J74" s="181"/>
    </row>
    <row r="75" spans="1:10" s="26" customFormat="1" ht="148.5" x14ac:dyDescent="0.3">
      <c r="A75" s="176"/>
      <c r="B75" s="115" t="s">
        <v>139</v>
      </c>
      <c r="C75" s="115" t="s">
        <v>153</v>
      </c>
      <c r="D75" s="115" t="s">
        <v>77</v>
      </c>
      <c r="E75" s="115" t="s">
        <v>19</v>
      </c>
      <c r="F75" s="115" t="s">
        <v>178</v>
      </c>
      <c r="G75" s="115" t="str">
        <f t="shared" si="6"/>
        <v>In the Research Project Info tab, select a NIA-funded study partner to access variable availability information.</v>
      </c>
      <c r="H75" s="194" t="str">
        <f t="shared" si="7"/>
        <v/>
      </c>
      <c r="I75" s="146" t="str">
        <f t="shared" si="8"/>
        <v/>
      </c>
      <c r="J75" s="181"/>
    </row>
    <row r="76" spans="1:10" s="26" customFormat="1" ht="128.25" customHeight="1" x14ac:dyDescent="0.3">
      <c r="A76" s="176"/>
      <c r="B76" s="115" t="s">
        <v>143</v>
      </c>
      <c r="C76" s="115" t="s">
        <v>153</v>
      </c>
      <c r="D76" s="115" t="s">
        <v>78</v>
      </c>
      <c r="E76" s="115" t="s">
        <v>20</v>
      </c>
      <c r="F76" s="115" t="s">
        <v>203</v>
      </c>
      <c r="G76" s="115" t="str">
        <f t="shared" si="6"/>
        <v>In the Research Project Info tab, select a NIA-funded study partner to access variable availability information.</v>
      </c>
      <c r="H76" s="194" t="str">
        <f t="shared" si="7"/>
        <v/>
      </c>
      <c r="I76" s="146" t="str">
        <f t="shared" si="8"/>
        <v/>
      </c>
      <c r="J76" s="181"/>
    </row>
    <row r="77" spans="1:10" s="26" customFormat="1" ht="55.35" customHeight="1" x14ac:dyDescent="0.3">
      <c r="A77" s="169"/>
      <c r="B77" s="182" t="s">
        <v>231</v>
      </c>
      <c r="C77" s="183"/>
      <c r="D77" s="183"/>
      <c r="E77" s="183"/>
      <c r="F77" s="184"/>
      <c r="G77" s="184"/>
      <c r="H77" s="185"/>
      <c r="I77" s="185"/>
      <c r="J77" s="181"/>
    </row>
    <row r="78" spans="1:10" ht="34.5" customHeight="1" x14ac:dyDescent="0.3">
      <c r="A78" s="156"/>
      <c r="B78" s="195" t="s">
        <v>11</v>
      </c>
      <c r="C78" s="195"/>
      <c r="D78" s="195"/>
      <c r="E78" s="196"/>
      <c r="F78" s="196"/>
      <c r="G78" s="196"/>
      <c r="H78" s="197"/>
      <c r="I78" s="198"/>
      <c r="J78" s="156"/>
    </row>
    <row r="79" spans="1:10" s="22" customFormat="1" ht="35.25" customHeight="1" x14ac:dyDescent="0.3">
      <c r="A79" s="199"/>
      <c r="B79" s="355" t="s">
        <v>702</v>
      </c>
      <c r="C79" s="314"/>
      <c r="D79" s="314"/>
      <c r="E79" s="314"/>
      <c r="F79" s="314"/>
      <c r="G79" s="314"/>
      <c r="H79" s="314"/>
      <c r="I79" s="314"/>
      <c r="J79" s="200"/>
    </row>
  </sheetData>
  <sheetProtection algorithmName="SHA-512" hashValue="2/EgVgZCIvAyBpDBM57o6rcqoCtNwSdCe/BCtc8NVh5JQTBQohF0BuaNTVpw6BMc+ZK75WWepBtieBCHdO/6WA==" saltValue="u2T6av9PbOMVmhaw8JhROw==" spinCount="100000" sheet="1" objects="1" scenarios="1" formatCells="0" formatColumns="0" formatRows="0"/>
  <dataConsolidate/>
  <conditionalFormatting sqref="H1:H1048576">
    <cfRule type="cellIs" dxfId="0" priority="1" operator="equal">
      <formula>"x"</formula>
    </cfRule>
  </conditionalFormatting>
  <dataValidations count="15">
    <dataValidation allowBlank="1" showErrorMessage="1" sqref="H27" xr:uid="{00000000-0002-0000-0800-000000000000}"/>
    <dataValidation type="list" allowBlank="1" showInputMessage="1" showErrorMessage="1" error="Select X to request the variable in the category. If you do not need the data, leave the menu as-is." prompt="Select X to request the variable. If you do not need the variable, leave the menu as-is." sqref="H25" xr:uid="{00000000-0002-0000-0800-000001000000}">
      <formula1>"Select X to Request All Variables in Category, X"</formula1>
    </dataValidation>
    <dataValidation allowBlank="1" showInputMessage="1" showErrorMessage="1" prompt="Enter the reason(s) why your study requires this category of variable(s)." sqref="I69 I31 I48 I25" xr:uid="{00000000-0002-0000-0800-000002000000}"/>
    <dataValidation type="whole" allowBlank="1" showInputMessage="1" showErrorMessage="1" error="Enter a Start Year specified in the years available cell. " prompt="Enter a Start Year." sqref="C18" xr:uid="{00000000-0002-0000-0800-000003000000}">
      <formula1>PDE_Min_Year</formula1>
      <formula2>PDE_Max_Year</formula2>
    </dataValidation>
    <dataValidation allowBlank="1" sqref="E78:I78 I32:I43 I26 I49:I64" xr:uid="{00000000-0002-0000-0800-000004000000}"/>
    <dataValidation type="custom" allowBlank="1" showInputMessage="1" showErrorMessage="1" errorTitle="Missing Request Selection" error="You have not yet selected X in the Request column for this variable. Please do so, then re-entry your justification." prompt="Enter the reason why your study requires this variable." sqref="I27" xr:uid="{00000000-0002-0000-0800-000005000000}">
      <formula1>$H27="X"</formula1>
    </dataValidation>
    <dataValidation type="custom" showInputMessage="1" showErrorMessage="1" errorTitle="Crit Req" error="You have not yet selected Moderate or High in the Criticality column for this variable. Please do so, then re-entry your justification." sqref="J75:J77 J26:J28 J30:J45 J47:J66 J68:J73" xr:uid="{00000000-0002-0000-0800-000006000000}">
      <formula1>OR(#REF!="High",#REF!="Moderate")</formula1>
    </dataValidation>
    <dataValidation showErrorMessage="1" errorTitle="Crit Req" error="You have not yet selected Moderate or High in the Criticality column for this variable. Please do so, then re-entry your justification." sqref="J74" xr:uid="{00000000-0002-0000-0800-000007000000}"/>
    <dataValidation allowBlank="1" showInputMessage="1" showErrorMessage="1" errorTitle="Missing Request Selection" error="You have not yet selected X in the Request column for this variable. Please do so, then re-entry your justification." sqref="I44 I65" xr:uid="{00000000-0002-0000-0800-000008000000}"/>
    <dataValidation type="list" allowBlank="1" showInputMessage="1" showErrorMessage="1" prompt="Select X to request the variable. If you do not need the variable, leave the menu as-is." sqref="H65 H44 H77" xr:uid="{00000000-0002-0000-0800-000009000000}">
      <formula1>"Select X to Request, X"</formula1>
    </dataValidation>
    <dataValidation type="whole" allowBlank="1" showInputMessage="1" showErrorMessage="1" error="Enter an End Year specified in the years available cell. " prompt="Enter an End Year." sqref="C19" xr:uid="{00000000-0002-0000-0800-00000A000000}">
      <formula1>PDE_Min_Year</formula1>
      <formula2>PDE_Max_Year</formula2>
    </dataValidation>
    <dataValidation type="list" allowBlank="1" showInputMessage="1" showErrorMessage="1" error="Select X to request all the variables. If you do not need the data, leave the menu as-is." prompt="Select X to request all the variables. If you do not need the data, leave the menu as-is." sqref="H31 H48 H69" xr:uid="{00000000-0002-0000-0800-00000B000000}">
      <formula1>"Select X to Request All Variables in Category, X"</formula1>
    </dataValidation>
    <dataValidation allowBlank="1" prompt="Select X in Cell H62 to request this variable. If you do not need the variable, delete &quot;x&quot; in this cell. " sqref="I70:I76" xr:uid="{00000000-0002-0000-0800-00000C000000}"/>
    <dataValidation type="list" allowBlank="1" showErrorMessage="1" error="Select X to request the variable. If you do not need the data, leave the menu as-is." sqref="H32:H43 H49:H64 H26" xr:uid="{00000000-0002-0000-0800-00000D000000}">
      <formula1>"X"</formula1>
    </dataValidation>
    <dataValidation allowBlank="1" showErrorMessage="1" error="Select X to request the variable. If you do not need the data, leave the menu as-is." prompt="Select X in Cell H62 to request this variable. If you do not need the variable, delete &quot;x&quot; in this cell. " sqref="H70:H76" xr:uid="{7BB47AC6-FAB0-4EE6-A35B-6FFFA35F9697}"/>
  </dataValidations>
  <hyperlinks>
    <hyperlink ref="B27" location="PDE_Request!A1" display="Back to top" xr:uid="{00000000-0004-0000-0800-000000000000}"/>
    <hyperlink ref="B77" location="PDE_Request!A1" display="Return to Table of Contents" xr:uid="{00000000-0004-0000-0800-000001000000}"/>
    <hyperlink ref="B44" location="PDE_Request!A1" display="Back to top" xr:uid="{00000000-0004-0000-0800-000002000000}"/>
    <hyperlink ref="B65" location="PDE_Request!A1" display="Back to top" xr:uid="{00000000-0004-0000-0800-000003000000}"/>
    <hyperlink ref="A4:I4" location="About_Request_Form!A1" display="Before completing this Form, review the About_Request_Form worksheet, which contains critical information on Form fields and their differences relative to ResDAC's CMS data request materials." xr:uid="{00000000-0004-0000-0800-000004000000}"/>
  </hyperlink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tabColor rgb="FF297E73"/>
  </sheetPr>
  <dimension ref="A1:F58"/>
  <sheetViews>
    <sheetView showGridLines="0" zoomScaleNormal="100" workbookViewId="0">
      <selection activeCell="A2" sqref="A2"/>
    </sheetView>
  </sheetViews>
  <sheetFormatPr defaultColWidth="8.6640625" defaultRowHeight="17.25" x14ac:dyDescent="0.3"/>
  <cols>
    <col min="1" max="1" width="7.77734375" style="230" customWidth="1"/>
    <col min="2" max="2" width="90.6640625" style="230" customWidth="1"/>
    <col min="3" max="5" width="15.6640625" style="230" customWidth="1"/>
    <col min="6" max="6" width="17.21875" style="230" customWidth="1"/>
    <col min="7" max="18" width="8.6640625" style="28" customWidth="1"/>
    <col min="19" max="16384" width="8.6640625" style="28"/>
  </cols>
  <sheetData>
    <row r="1" spans="1:6" ht="28.35" customHeight="1" x14ac:dyDescent="0.25">
      <c r="A1" s="296" t="s">
        <v>543</v>
      </c>
      <c r="B1" s="306"/>
      <c r="C1" s="306"/>
      <c r="D1" s="306"/>
      <c r="E1" s="306"/>
      <c r="F1" s="203"/>
    </row>
    <row r="2" spans="1:6" ht="30.75" x14ac:dyDescent="0.45">
      <c r="A2" s="462" t="s">
        <v>94</v>
      </c>
      <c r="B2" s="307"/>
      <c r="C2" s="307"/>
      <c r="D2" s="307"/>
      <c r="E2" s="307"/>
      <c r="F2" s="204"/>
    </row>
    <row r="3" spans="1:6" ht="15.95" customHeight="1" x14ac:dyDescent="0.55000000000000004">
      <c r="A3" s="308"/>
      <c r="B3" s="308"/>
      <c r="C3" s="308"/>
      <c r="D3" s="308"/>
      <c r="E3" s="308"/>
      <c r="F3" s="205"/>
    </row>
    <row r="4" spans="1:6" s="30" customFormat="1" ht="37.9" customHeight="1" x14ac:dyDescent="0.3">
      <c r="A4" s="405" t="s">
        <v>785</v>
      </c>
      <c r="B4" s="405"/>
      <c r="C4" s="405"/>
      <c r="D4" s="405"/>
      <c r="E4" s="405"/>
      <c r="F4" s="406"/>
    </row>
    <row r="5" spans="1:6" s="30" customFormat="1" ht="25.15" customHeight="1" x14ac:dyDescent="0.3">
      <c r="A5" s="407" t="s">
        <v>786</v>
      </c>
      <c r="B5" s="405"/>
      <c r="C5" s="405"/>
      <c r="D5" s="405"/>
      <c r="E5" s="405"/>
      <c r="F5" s="406"/>
    </row>
    <row r="6" spans="1:6" ht="37.15" customHeight="1" x14ac:dyDescent="0.3">
      <c r="A6" s="408" t="s">
        <v>787</v>
      </c>
      <c r="B6" s="408"/>
      <c r="C6" s="408"/>
      <c r="D6" s="408"/>
      <c r="E6" s="408"/>
      <c r="F6" s="409"/>
    </row>
    <row r="7" spans="1:6" ht="15" customHeight="1" x14ac:dyDescent="0.3">
      <c r="A7" s="206"/>
      <c r="B7" s="207"/>
      <c r="C7" s="208"/>
      <c r="D7" s="208"/>
      <c r="E7" s="208"/>
      <c r="F7" s="209"/>
    </row>
    <row r="8" spans="1:6" ht="33" x14ac:dyDescent="0.3">
      <c r="A8" s="206"/>
      <c r="B8" s="210" t="s">
        <v>496</v>
      </c>
      <c r="C8" s="210" t="s">
        <v>93</v>
      </c>
      <c r="D8" s="210" t="s">
        <v>22</v>
      </c>
      <c r="E8" s="210" t="s">
        <v>497</v>
      </c>
      <c r="F8" s="209"/>
    </row>
    <row r="9" spans="1:6" x14ac:dyDescent="0.3">
      <c r="A9" s="206"/>
      <c r="B9" s="211" t="s">
        <v>235</v>
      </c>
      <c r="C9" s="211"/>
      <c r="D9" s="212"/>
      <c r="E9" s="213"/>
      <c r="F9" s="209"/>
    </row>
    <row r="10" spans="1:6" x14ac:dyDescent="0.3">
      <c r="A10" s="206"/>
      <c r="B10" s="214" t="s">
        <v>83</v>
      </c>
      <c r="C10" s="214" t="str">
        <f>IF('File-Level_Request'!E23="x","Yes","No")</f>
        <v>No</v>
      </c>
      <c r="D10" s="215" t="str">
        <f>IF(C10="Yes",'File-Level_Request'!D23,"")</f>
        <v/>
      </c>
      <c r="E10" s="215" t="str">
        <f>IF(C10="Yes",CONCATENATE('File-Level_Request'!F23," - ",'File-Level_Request'!G23),"")</f>
        <v/>
      </c>
      <c r="F10" s="209"/>
    </row>
    <row r="11" spans="1:6" x14ac:dyDescent="0.3">
      <c r="A11" s="206"/>
      <c r="B11" s="214" t="s">
        <v>283</v>
      </c>
      <c r="C11" s="214" t="str">
        <f>IF('File-Level_Request'!E24="x","Yes","No")</f>
        <v>No</v>
      </c>
      <c r="D11" s="215" t="str">
        <f>IF(C11="Yes",'File-Level_Request'!D24,"")</f>
        <v/>
      </c>
      <c r="E11" s="215" t="str">
        <f>IF(C11="Yes",CONCATENATE('File-Level_Request'!F24," - ",'File-Level_Request'!G24),"")</f>
        <v/>
      </c>
      <c r="F11" s="209"/>
    </row>
    <row r="12" spans="1:6" x14ac:dyDescent="0.3">
      <c r="A12" s="206"/>
      <c r="B12" s="211" t="s">
        <v>623</v>
      </c>
      <c r="C12" s="211"/>
      <c r="D12" s="212"/>
      <c r="E12" s="213"/>
      <c r="F12" s="209"/>
    </row>
    <row r="13" spans="1:6" x14ac:dyDescent="0.3">
      <c r="A13" s="206"/>
      <c r="B13" s="214" t="s">
        <v>284</v>
      </c>
      <c r="C13" s="214" t="str">
        <f>IF('File-Level_Request'!E30="x","Yes","No")</f>
        <v>No</v>
      </c>
      <c r="D13" s="215" t="str">
        <f>IF(C13="Yes",'File-Level_Request'!D30,"")</f>
        <v/>
      </c>
      <c r="E13" s="215" t="str">
        <f>IF(C13="Yes",CONCATENATE('File-Level_Request'!F30," - ",'File-Level_Request'!G30),"")</f>
        <v/>
      </c>
      <c r="F13" s="209"/>
    </row>
    <row r="14" spans="1:6" x14ac:dyDescent="0.3">
      <c r="A14" s="206"/>
      <c r="B14" s="214" t="s">
        <v>285</v>
      </c>
      <c r="C14" s="214" t="str">
        <f>IF('File-Level_Request'!E31="x","Yes","No")</f>
        <v>No</v>
      </c>
      <c r="D14" s="215" t="str">
        <f>IF(C14="Yes",'File-Level_Request'!D31,"")</f>
        <v/>
      </c>
      <c r="E14" s="215" t="str">
        <f>IF(C14="Yes",CONCATENATE('File-Level_Request'!F31," - ",'File-Level_Request'!G31),"")</f>
        <v/>
      </c>
      <c r="F14" s="209"/>
    </row>
    <row r="15" spans="1:6" x14ac:dyDescent="0.3">
      <c r="A15" s="206"/>
      <c r="B15" s="214" t="s">
        <v>286</v>
      </c>
      <c r="C15" s="214" t="str">
        <f>IF('File-Level_Request'!E32="x","Yes","No")</f>
        <v>No</v>
      </c>
      <c r="D15" s="215" t="str">
        <f>IF(C15="Yes",'File-Level_Request'!D32,"")</f>
        <v/>
      </c>
      <c r="E15" s="215" t="str">
        <f>IF(C15="Yes",CONCATENATE('File-Level_Request'!F32," - ",'File-Level_Request'!G32),"")</f>
        <v/>
      </c>
      <c r="F15" s="209"/>
    </row>
    <row r="16" spans="1:6" x14ac:dyDescent="0.3">
      <c r="A16" s="206"/>
      <c r="B16" s="211" t="s">
        <v>288</v>
      </c>
      <c r="C16" s="211"/>
      <c r="D16" s="212"/>
      <c r="E16" s="213"/>
      <c r="F16" s="209"/>
    </row>
    <row r="17" spans="1:6" x14ac:dyDescent="0.3">
      <c r="A17" s="206"/>
      <c r="B17" s="214" t="s">
        <v>246</v>
      </c>
      <c r="C17" s="214" t="str">
        <f>IF('File-Level_Request'!E38="x","Yes", "No")</f>
        <v>No</v>
      </c>
      <c r="D17" s="215" t="str">
        <f>IF(C17="Yes",'File-Level_Request'!D38,"")</f>
        <v/>
      </c>
      <c r="E17" s="215" t="str">
        <f>IF(C17="Yes",CONCATENATE('File-Level_Request'!F38," - ",'File-Level_Request'!G38),"")</f>
        <v/>
      </c>
      <c r="F17" s="209"/>
    </row>
    <row r="18" spans="1:6" x14ac:dyDescent="0.3">
      <c r="A18" s="206"/>
      <c r="B18" s="214" t="s">
        <v>267</v>
      </c>
      <c r="C18" s="214" t="str">
        <f>IF('File-Level_Request'!E39="x","Yes", "No")</f>
        <v>No</v>
      </c>
      <c r="D18" s="215" t="str">
        <f>IF(C18="Yes",'File-Level_Request'!D39,"")</f>
        <v/>
      </c>
      <c r="E18" s="215" t="str">
        <f>IF(C18="Yes",CONCATENATE('File-Level_Request'!F39," - ",'File-Level_Request'!G39),"")</f>
        <v/>
      </c>
      <c r="F18" s="209"/>
    </row>
    <row r="19" spans="1:6" x14ac:dyDescent="0.3">
      <c r="A19" s="206"/>
      <c r="B19" s="211" t="s">
        <v>236</v>
      </c>
      <c r="C19" s="211"/>
      <c r="D19" s="212"/>
      <c r="E19" s="213"/>
      <c r="F19" s="209"/>
    </row>
    <row r="20" spans="1:6" x14ac:dyDescent="0.3">
      <c r="A20" s="206"/>
      <c r="B20" s="214" t="s">
        <v>252</v>
      </c>
      <c r="C20" s="214" t="str">
        <f>IF('File-Level_Request'!E45="x","Yes", "No")</f>
        <v>No</v>
      </c>
      <c r="D20" s="215" t="str">
        <f>IF(C20="Yes",'File-Level_Request'!D45,"")</f>
        <v/>
      </c>
      <c r="E20" s="215" t="str">
        <f>IF(C20="Yes",CONCATENATE('File-Level_Request'!F45," - ",'File-Level_Request'!G45),"")</f>
        <v/>
      </c>
      <c r="F20" s="209"/>
    </row>
    <row r="21" spans="1:6" x14ac:dyDescent="0.3">
      <c r="A21" s="206"/>
      <c r="B21" s="214" t="s">
        <v>253</v>
      </c>
      <c r="C21" s="214" t="str">
        <f>IF('File-Level_Request'!E46="x","Yes", "No")</f>
        <v>No</v>
      </c>
      <c r="D21" s="215" t="str">
        <f>IF(C21="Yes",'File-Level_Request'!D46,"")</f>
        <v/>
      </c>
      <c r="E21" s="215" t="str">
        <f>IF(C21="Yes",CONCATENATE('File-Level_Request'!F46," - ",'File-Level_Request'!G46),"")</f>
        <v/>
      </c>
      <c r="F21" s="209"/>
    </row>
    <row r="22" spans="1:6" x14ac:dyDescent="0.3">
      <c r="A22" s="206"/>
      <c r="B22" s="214" t="s">
        <v>254</v>
      </c>
      <c r="C22" s="214" t="str">
        <f>IF('File-Level_Request'!E47="x","Yes", "No")</f>
        <v>No</v>
      </c>
      <c r="D22" s="215" t="str">
        <f>IF(C22="Yes",'File-Level_Request'!D47,"")</f>
        <v/>
      </c>
      <c r="E22" s="215" t="str">
        <f>IF(C22="Yes",CONCATENATE('File-Level_Request'!F47," - ",'File-Level_Request'!G47),"")</f>
        <v/>
      </c>
      <c r="F22" s="209"/>
    </row>
    <row r="23" spans="1:6" x14ac:dyDescent="0.3">
      <c r="A23" s="206"/>
      <c r="B23" s="214" t="s">
        <v>255</v>
      </c>
      <c r="C23" s="214" t="str">
        <f>IF('File-Level_Request'!E48="x","Yes", "No")</f>
        <v>No</v>
      </c>
      <c r="D23" s="215" t="str">
        <f>IF(C23="Yes",'File-Level_Request'!D48,"")</f>
        <v/>
      </c>
      <c r="E23" s="215" t="str">
        <f>IF(C23="Yes",CONCATENATE('File-Level_Request'!F48," - ",'File-Level_Request'!G48),"")</f>
        <v/>
      </c>
      <c r="F23" s="209"/>
    </row>
    <row r="24" spans="1:6" x14ac:dyDescent="0.3">
      <c r="A24" s="206"/>
      <c r="B24" s="214" t="s">
        <v>256</v>
      </c>
      <c r="C24" s="214" t="str">
        <f>IF('File-Level_Request'!E49="x","Yes", "No")</f>
        <v>No</v>
      </c>
      <c r="D24" s="215" t="str">
        <f>IF(C24="Yes",'File-Level_Request'!D49,"")</f>
        <v/>
      </c>
      <c r="E24" s="215" t="str">
        <f>IF(C24="Yes",CONCATENATE('File-Level_Request'!F49," - ",'File-Level_Request'!G49),"")</f>
        <v/>
      </c>
      <c r="F24" s="209"/>
    </row>
    <row r="25" spans="1:6" x14ac:dyDescent="0.3">
      <c r="A25" s="206"/>
      <c r="B25" s="214" t="s">
        <v>258</v>
      </c>
      <c r="C25" s="214" t="str">
        <f>IF('File-Level_Request'!E50="x","Yes", "No")</f>
        <v>No</v>
      </c>
      <c r="D25" s="215" t="str">
        <f>IF(C25="Yes",'File-Level_Request'!D50,"")</f>
        <v/>
      </c>
      <c r="E25" s="215" t="str">
        <f>IF(C25="Yes",CONCATENATE('File-Level_Request'!F50," - ",'File-Level_Request'!G50),"")</f>
        <v/>
      </c>
      <c r="F25" s="209"/>
    </row>
    <row r="26" spans="1:6" x14ac:dyDescent="0.3">
      <c r="A26" s="206"/>
      <c r="B26" s="214" t="s">
        <v>259</v>
      </c>
      <c r="C26" s="214" t="str">
        <f>IF('File-Level_Request'!E51="x","Yes", "No")</f>
        <v>No</v>
      </c>
      <c r="D26" s="215" t="str">
        <f>IF(C26="Yes",'File-Level_Request'!D51,"")</f>
        <v/>
      </c>
      <c r="E26" s="215" t="str">
        <f>IF(C26="Yes",CONCATENATE('File-Level_Request'!F51," - ",'File-Level_Request'!G51),"")</f>
        <v/>
      </c>
      <c r="F26" s="209"/>
    </row>
    <row r="27" spans="1:6" x14ac:dyDescent="0.3">
      <c r="A27" s="206"/>
      <c r="B27" s="214" t="s">
        <v>715</v>
      </c>
      <c r="C27" s="214" t="str">
        <f>IF('File-Level_Request'!E52="x","Yes", "No")</f>
        <v>No</v>
      </c>
      <c r="D27" s="215" t="str">
        <f>IF(C27="Yes",'File-Level_Request'!D52,"")</f>
        <v/>
      </c>
      <c r="E27" s="215" t="str">
        <f>IF(C27="Yes",CONCATENATE('File-Level_Request'!F52," - ",'File-Level_Request'!G52),"")</f>
        <v/>
      </c>
      <c r="F27" s="209"/>
    </row>
    <row r="28" spans="1:6" x14ac:dyDescent="0.3">
      <c r="A28" s="206"/>
      <c r="B28" s="211" t="s">
        <v>624</v>
      </c>
      <c r="C28" s="216"/>
      <c r="D28" s="217"/>
      <c r="E28" s="218"/>
      <c r="F28" s="209"/>
    </row>
    <row r="29" spans="1:6" x14ac:dyDescent="0.3">
      <c r="A29" s="206"/>
      <c r="B29" s="214" t="s">
        <v>260</v>
      </c>
      <c r="C29" s="214" t="str">
        <f>IF('File-Level_Request'!E58="x","Yes", "No")</f>
        <v>No</v>
      </c>
      <c r="D29" s="215" t="str">
        <f>IF(C29="Yes",'File-Level_Request'!D58,"")</f>
        <v/>
      </c>
      <c r="E29" s="215" t="str">
        <f>IF(C29="Yes",CONCATENATE('File-Level_Request'!F58," - ",'File-Level_Request'!G58),"")</f>
        <v/>
      </c>
      <c r="F29" s="209"/>
    </row>
    <row r="30" spans="1:6" x14ac:dyDescent="0.3">
      <c r="A30" s="206"/>
      <c r="B30" s="214" t="s">
        <v>261</v>
      </c>
      <c r="C30" s="214" t="str">
        <f>IF('File-Level_Request'!E59="x","Yes", "No")</f>
        <v>No</v>
      </c>
      <c r="D30" s="215" t="str">
        <f>IF(C30="Yes",'File-Level_Request'!D59,"")</f>
        <v/>
      </c>
      <c r="E30" s="215" t="str">
        <f>IF(C30="Yes",CONCATENATE('File-Level_Request'!F59," - ",'File-Level_Request'!G59),"")</f>
        <v/>
      </c>
      <c r="F30" s="209"/>
    </row>
    <row r="31" spans="1:6" x14ac:dyDescent="0.3">
      <c r="A31" s="206"/>
      <c r="B31" s="214" t="s">
        <v>262</v>
      </c>
      <c r="C31" s="214" t="str">
        <f>IF('File-Level_Request'!E60="x","Yes", "No")</f>
        <v>No</v>
      </c>
      <c r="D31" s="215" t="str">
        <f>IF(C31="Yes",'File-Level_Request'!D60,"")</f>
        <v/>
      </c>
      <c r="E31" s="215" t="str">
        <f>IF(C31="Yes",CONCATENATE('File-Level_Request'!F60," - ",'File-Level_Request'!G60),"")</f>
        <v/>
      </c>
      <c r="F31" s="209"/>
    </row>
    <row r="32" spans="1:6" x14ac:dyDescent="0.3">
      <c r="A32" s="206"/>
      <c r="B32" s="214" t="s">
        <v>263</v>
      </c>
      <c r="C32" s="214" t="str">
        <f>IF('File-Level_Request'!E61="x","Yes", "No")</f>
        <v>No</v>
      </c>
      <c r="D32" s="215" t="str">
        <f>IF(C32="Yes",'File-Level_Request'!D61,"")</f>
        <v/>
      </c>
      <c r="E32" s="215" t="str">
        <f>IF(C32="Yes",CONCATENATE('File-Level_Request'!F61," - ",'File-Level_Request'!G61),"")</f>
        <v/>
      </c>
      <c r="F32" s="209"/>
    </row>
    <row r="33" spans="1:6" x14ac:dyDescent="0.3">
      <c r="A33" s="206"/>
      <c r="B33" s="214" t="s">
        <v>264</v>
      </c>
      <c r="C33" s="214" t="str">
        <f>IF('File-Level_Request'!E62="x","Yes", "No")</f>
        <v>No</v>
      </c>
      <c r="D33" s="215" t="str">
        <f>IF(C33="Yes",'File-Level_Request'!D62,"")</f>
        <v/>
      </c>
      <c r="E33" s="215" t="str">
        <f>IF(C33="Yes",CONCATENATE('File-Level_Request'!F62," - ",'File-Level_Request'!G62),"")</f>
        <v/>
      </c>
      <c r="F33" s="209"/>
    </row>
    <row r="34" spans="1:6" x14ac:dyDescent="0.3">
      <c r="A34" s="206"/>
      <c r="B34" s="214" t="s">
        <v>265</v>
      </c>
      <c r="C34" s="214" t="str">
        <f>IF('File-Level_Request'!E63="x","Yes", "No")</f>
        <v>No</v>
      </c>
      <c r="D34" s="215" t="str">
        <f>IF(C34="Yes",'File-Level_Request'!D63,"")</f>
        <v/>
      </c>
      <c r="E34" s="215" t="str">
        <f>IF(C34="Yes",CONCATENATE('File-Level_Request'!F63," - ",'File-Level_Request'!G63),"")</f>
        <v/>
      </c>
      <c r="F34" s="209"/>
    </row>
    <row r="35" spans="1:6" x14ac:dyDescent="0.3">
      <c r="A35" s="206"/>
      <c r="B35" s="211" t="s">
        <v>237</v>
      </c>
      <c r="C35" s="211" t="str">
        <f>IF('File-Level_Request'!E71="x","Yes", "No")</f>
        <v>No</v>
      </c>
      <c r="D35" s="212" t="str">
        <f>IF(C35="Yes",'File-Level_Request'!D71,"")</f>
        <v/>
      </c>
      <c r="E35" s="213" t="str">
        <f>IF(C35="Yes",CONCATENATE('File-Level_Request'!F71," - ",'File-Level_Request'!G71),"")</f>
        <v/>
      </c>
      <c r="F35" s="209"/>
    </row>
    <row r="36" spans="1:6" x14ac:dyDescent="0.3">
      <c r="A36" s="206"/>
      <c r="B36" s="216" t="s">
        <v>289</v>
      </c>
      <c r="C36" s="216"/>
      <c r="D36" s="217"/>
      <c r="E36" s="218"/>
      <c r="F36" s="209"/>
    </row>
    <row r="37" spans="1:6" x14ac:dyDescent="0.3">
      <c r="A37" s="206"/>
      <c r="B37" s="214" t="s">
        <v>243</v>
      </c>
      <c r="C37" s="214" t="str">
        <f>IF('File-Level_Request'!E78="x","Yes", "No")</f>
        <v>No</v>
      </c>
      <c r="D37" s="215" t="str">
        <f>IF(C37="Yes",'File-Level_Request'!D78,"")</f>
        <v/>
      </c>
      <c r="E37" s="215" t="str">
        <f>IF(C37="Yes",CONCATENATE('File-Level_Request'!F78," - ",'File-Level_Request'!G78),"")</f>
        <v/>
      </c>
      <c r="F37" s="209"/>
    </row>
    <row r="38" spans="1:6" x14ac:dyDescent="0.3">
      <c r="A38" s="206"/>
      <c r="B38" s="214" t="s">
        <v>244</v>
      </c>
      <c r="C38" s="214" t="str">
        <f>IF('File-Level_Request'!E79="x","Yes", "No")</f>
        <v>No</v>
      </c>
      <c r="D38" s="215" t="str">
        <f>IF(C38="Yes",'File-Level_Request'!D79,"")</f>
        <v/>
      </c>
      <c r="E38" s="215" t="str">
        <f>IF(C38="Yes",CONCATENATE('File-Level_Request'!F79," - ",'File-Level_Request'!G79),"")</f>
        <v/>
      </c>
      <c r="F38" s="209"/>
    </row>
    <row r="39" spans="1:6" x14ac:dyDescent="0.3">
      <c r="A39" s="206"/>
      <c r="B39" s="214" t="s">
        <v>245</v>
      </c>
      <c r="C39" s="214" t="str">
        <f>IF('File-Level_Request'!E80="x","Yes", "No")</f>
        <v>No</v>
      </c>
      <c r="D39" s="215" t="str">
        <f>IF(C39="Yes",'File-Level_Request'!D80,"")</f>
        <v/>
      </c>
      <c r="E39" s="215" t="str">
        <f>IF(C39="Yes",CONCATENATE('File-Level_Request'!F80," - ",'File-Level_Request'!G80),"")</f>
        <v/>
      </c>
      <c r="F39" s="209"/>
    </row>
    <row r="40" spans="1:6" x14ac:dyDescent="0.3">
      <c r="A40" s="206"/>
      <c r="B40" s="214" t="s">
        <v>248</v>
      </c>
      <c r="C40" s="214" t="str">
        <f>IF('File-Level_Request'!E81="x","Yes", "No")</f>
        <v>No</v>
      </c>
      <c r="D40" s="215" t="str">
        <f>IF(C40="Yes",'File-Level_Request'!D81,"")</f>
        <v/>
      </c>
      <c r="E40" s="215" t="str">
        <f>IF(C40="Yes",CONCATENATE('File-Level_Request'!F81," - ",'File-Level_Request'!G81),"")</f>
        <v/>
      </c>
      <c r="F40" s="209"/>
    </row>
    <row r="41" spans="1:6" x14ac:dyDescent="0.3">
      <c r="A41" s="206"/>
      <c r="B41" s="214" t="s">
        <v>268</v>
      </c>
      <c r="C41" s="214" t="str">
        <f>IF('File-Level_Request'!E82="x","Yes", "No")</f>
        <v>No</v>
      </c>
      <c r="D41" s="215" t="str">
        <f>IF(C41="Yes",'File-Level_Request'!D82,"")</f>
        <v/>
      </c>
      <c r="E41" s="215" t="str">
        <f>IF(C41="Yes",CONCATENATE('File-Level_Request'!F82," - ",'File-Level_Request'!G82),"")</f>
        <v/>
      </c>
      <c r="F41" s="209"/>
    </row>
    <row r="42" spans="1:6" x14ac:dyDescent="0.3">
      <c r="A42" s="206"/>
      <c r="B42" s="214" t="s">
        <v>269</v>
      </c>
      <c r="C42" s="214" t="str">
        <f>IF('File-Level_Request'!E83="x","Yes", "No")</f>
        <v>No</v>
      </c>
      <c r="D42" s="215" t="str">
        <f>IF(C42="Yes",'File-Level_Request'!D83,"")</f>
        <v/>
      </c>
      <c r="E42" s="215" t="str">
        <f>IF(C42="Yes",CONCATENATE('File-Level_Request'!F83," - ",'File-Level_Request'!G83),"")</f>
        <v/>
      </c>
      <c r="F42" s="209"/>
    </row>
    <row r="43" spans="1:6" x14ac:dyDescent="0.3">
      <c r="A43" s="206"/>
      <c r="B43" s="214" t="s">
        <v>270</v>
      </c>
      <c r="C43" s="214" t="str">
        <f>IF('File-Level_Request'!E84="x","Yes", "No")</f>
        <v>No</v>
      </c>
      <c r="D43" s="215" t="str">
        <f>IF(C43="Yes",'File-Level_Request'!D84,"")</f>
        <v/>
      </c>
      <c r="E43" s="215" t="str">
        <f>IF(C43="Yes",CONCATENATE('File-Level_Request'!F84," - ",'File-Level_Request'!G84),"")</f>
        <v/>
      </c>
      <c r="F43" s="209"/>
    </row>
    <row r="44" spans="1:6" x14ac:dyDescent="0.3">
      <c r="A44" s="206"/>
      <c r="B44" s="214" t="s">
        <v>271</v>
      </c>
      <c r="C44" s="214" t="str">
        <f>IF('File-Level_Request'!E85="x","Yes", "No")</f>
        <v>No</v>
      </c>
      <c r="D44" s="215" t="str">
        <f>IF(C44="Yes",'File-Level_Request'!D85,"")</f>
        <v/>
      </c>
      <c r="E44" s="215" t="str">
        <f>IF(C44="Yes",CONCATENATE('File-Level_Request'!F85," - ",'File-Level_Request'!G85),"")</f>
        <v/>
      </c>
      <c r="F44" s="209"/>
    </row>
    <row r="45" spans="1:6" x14ac:dyDescent="0.3">
      <c r="A45" s="206"/>
      <c r="B45" s="219" t="s">
        <v>693</v>
      </c>
      <c r="C45" s="211" t="str">
        <f>IF('File-Level_Request'!E92="x","Yes", "No")</f>
        <v>No</v>
      </c>
      <c r="D45" s="212" t="str">
        <f>IF(C45="Yes",'File-Level_Request'!D92,"")</f>
        <v/>
      </c>
      <c r="E45" s="213" t="str">
        <f>IF(C44="Yes",CONCATENATE('File-Level_Request'!F92," - ",'File-Level_Request'!G92),"")</f>
        <v/>
      </c>
      <c r="F45" s="209"/>
    </row>
    <row r="46" spans="1:6" x14ac:dyDescent="0.3">
      <c r="A46" s="206"/>
      <c r="B46" s="220" t="s">
        <v>121</v>
      </c>
      <c r="C46" s="220" t="str">
        <f>IF(COUNTIF('File-Level_Request'!E97:E98,"X")&gt;0,"Yes","No")</f>
        <v>No</v>
      </c>
      <c r="D46" s="221" t="str">
        <f>IF(C46="Yes",'File-Level_Request'!D98,"")</f>
        <v/>
      </c>
      <c r="E46" s="222" t="str">
        <f>IF(C46="Yes",CONCATENATE('File-Level_Request'!F98," - ",'File-Level_Request'!G98),"")</f>
        <v/>
      </c>
      <c r="F46" s="209"/>
    </row>
    <row r="47" spans="1:6" x14ac:dyDescent="0.3">
      <c r="A47" s="206"/>
      <c r="B47" s="223" t="s">
        <v>636</v>
      </c>
      <c r="C47" s="220" t="str">
        <f>IF(COUNTIF('File-Level_Request'!E103:E104,"X")&gt;0,"Yes","No")</f>
        <v>No</v>
      </c>
      <c r="D47" s="221" t="str">
        <f>IF(C47="Yes",'File-Level_Request'!D104,"")</f>
        <v/>
      </c>
      <c r="E47" s="222" t="str">
        <f>IF(C47="Yes",CONCATENATE('File-Level_Request'!F104," - ",'File-Level_Request'!G104),"")</f>
        <v/>
      </c>
      <c r="F47" s="209"/>
    </row>
    <row r="48" spans="1:6" x14ac:dyDescent="0.3">
      <c r="A48" s="206"/>
      <c r="B48" s="211" t="s">
        <v>720</v>
      </c>
      <c r="C48" s="211"/>
      <c r="D48" s="212"/>
      <c r="E48" s="213"/>
      <c r="F48" s="209"/>
    </row>
    <row r="49" spans="1:6" x14ac:dyDescent="0.3">
      <c r="A49" s="206"/>
      <c r="B49" s="214" t="s">
        <v>122</v>
      </c>
      <c r="C49" s="214" t="str">
        <f>IF(PDE_Request!C17="N/A","No",IF(OR(AND(PDE_Request!H25="X",COUNTIF(PDE_Request!H26:H26,"x")&gt;0),COUNTIF(PDE_Request!H26:H26,"X")&gt;0),"Yes","No"))</f>
        <v>No</v>
      </c>
      <c r="D49" s="215" t="str">
        <f>IF(C49="Yes", PDE_Request!C$17,"")</f>
        <v/>
      </c>
      <c r="E49" s="215" t="str">
        <f>IF(OR(C49="No",PDE_Request!C$18="Enter Start Year",PDE_Request!C$19="Enter End Year",PDE_Request!C18&gt;PDE_Request!C19),"",CONCATENATE(PDE_Request!C$18," - ",PDE_Request!C$19))</f>
        <v/>
      </c>
      <c r="F49" s="209"/>
    </row>
    <row r="50" spans="1:6" x14ac:dyDescent="0.3">
      <c r="A50" s="206"/>
      <c r="B50" s="214" t="s">
        <v>124</v>
      </c>
      <c r="C50" s="214" t="str">
        <f>IF(PDE_Request!C$17="N/A","No",IF(OR(AND(PDE_Request!H31="X",COUNTIF(PDE_Request!H32:H43,"x")&gt;0),COUNTIF(PDE_Request!H32:H43,"X")&gt;0),"Yes","No"))</f>
        <v>No</v>
      </c>
      <c r="D50" s="215" t="str">
        <f>IF(C50="Yes", PDE_Request!C$17,"")</f>
        <v/>
      </c>
      <c r="E50" s="215" t="str">
        <f>IF(OR(C50="No",PDE_Request!C$18="Enter Start Year",PDE_Request!C$19="Enter End Year",PDE_Request!C18&gt;PDE_Request!C19),"",CONCATENATE(PDE_Request!C$18," - ",PDE_Request!C$19))</f>
        <v/>
      </c>
      <c r="F50" s="209"/>
    </row>
    <row r="51" spans="1:6" x14ac:dyDescent="0.3">
      <c r="A51" s="206"/>
      <c r="B51" s="214" t="s">
        <v>125</v>
      </c>
      <c r="C51" s="214" t="str">
        <f>IF(PDE_Request!C$17="N/A","No",IF(OR(AND(PDE_Request!H48="X",COUNTIF(PDE_Request!H49:H64,"x")&gt;0),COUNTIF(PDE_Request!H49:H64,"X")&gt;0),"Yes","No"))</f>
        <v>No</v>
      </c>
      <c r="D51" s="215" t="str">
        <f>IF(C51="Yes", PDE_Request!C$17,"")</f>
        <v/>
      </c>
      <c r="E51" s="215" t="str">
        <f>IF(OR(C51="No",PDE_Request!C$18="Enter Start Year",PDE_Request!C$19="Enter End Year",PDE_Request!C18&gt;PDE_Request!C19),"",CONCATENATE(PDE_Request!C$18," - ",PDE_Request!C$19))</f>
        <v/>
      </c>
      <c r="F51" s="209"/>
    </row>
    <row r="52" spans="1:6" x14ac:dyDescent="0.3">
      <c r="A52" s="206"/>
      <c r="B52" s="214" t="s">
        <v>98</v>
      </c>
      <c r="C52" s="214" t="str">
        <f>IF(PDE_Request!C$17="N/A","No",IF(OR(AND(PDE_Request!H69="X",COUNTIF(PDE_Request!H70:H76,"x")&gt;0),COUNTIF(PDE_Request!H70:H76,"X")&gt;0),"Yes","No"))</f>
        <v>No</v>
      </c>
      <c r="D52" s="215" t="str">
        <f>IF(C52="Yes", PDE_Request!C$17,"")</f>
        <v/>
      </c>
      <c r="E52" s="215" t="str">
        <f>IF(OR(C52="No",PDE_Request!C$18="Enter Start Year",PDE_Request!C$19="Enter End Year",PDE_Request!C18&gt;PDE_Request!C19),"",CONCATENATE(PDE_Request!C$18," - ",PDE_Request!C$19))</f>
        <v/>
      </c>
      <c r="F52" s="209"/>
    </row>
    <row r="53" spans="1:6" x14ac:dyDescent="0.3">
      <c r="A53" s="206"/>
      <c r="B53" s="220" t="s">
        <v>241</v>
      </c>
      <c r="C53" s="220" t="str">
        <f>IF(COUNTIF('File-Level_Request'!E109:E110,"X")&gt;0,"Yes","No")</f>
        <v>No</v>
      </c>
      <c r="D53" s="221" t="str">
        <f>IF(C53="Yes",'File-Level_Request'!D110,"")</f>
        <v/>
      </c>
      <c r="E53" s="222" t="str">
        <f>IF(C53="Yes",CONCATENATE('File-Level_Request'!F110," - ",'File-Level_Request'!G110),"")</f>
        <v/>
      </c>
      <c r="F53" s="209"/>
    </row>
    <row r="54" spans="1:6" x14ac:dyDescent="0.3">
      <c r="A54" s="206"/>
      <c r="B54" s="224"/>
      <c r="C54" s="225"/>
      <c r="D54" s="208"/>
      <c r="E54" s="226"/>
      <c r="F54" s="209"/>
    </row>
    <row r="55" spans="1:6" x14ac:dyDescent="0.3">
      <c r="A55" s="206"/>
      <c r="B55" s="227" t="s">
        <v>563</v>
      </c>
      <c r="C55" s="352" t="str">
        <f>IF(OR(AND((COUNTA(Research_Project_Info!C11:F13)+COUNTA(Research_Project_Info!C17:F21))&gt;=8,SelectSurvey&lt;&gt;0, Research_Project_Info!C14&lt;&gt;"Select a Response",SelectSoftware&lt;&gt;0),COUNTA(CMS_DUA_Info)+COUNTA(Research_Project_Info!C42:F46)&gt;=6),"Complete","Research_Project_Info tab is incomplete.")</f>
        <v>Research_Project_Info tab is incomplete.</v>
      </c>
      <c r="D55" s="352"/>
      <c r="E55" s="353"/>
      <c r="F55" s="209"/>
    </row>
    <row r="56" spans="1:6" x14ac:dyDescent="0.3">
      <c r="A56" s="206"/>
      <c r="B56" s="208"/>
      <c r="C56" s="208"/>
      <c r="D56" s="208"/>
      <c r="E56" s="208"/>
      <c r="F56" s="209"/>
    </row>
    <row r="57" spans="1:6" x14ac:dyDescent="0.3">
      <c r="A57" s="206"/>
      <c r="B57" s="208"/>
      <c r="C57" s="208"/>
      <c r="D57" s="208"/>
      <c r="E57" s="208"/>
      <c r="F57" s="209"/>
    </row>
    <row r="58" spans="1:6" s="31" customFormat="1" ht="35.25" customHeight="1" x14ac:dyDescent="0.3">
      <c r="A58" s="228"/>
      <c r="B58" s="357" t="s">
        <v>702</v>
      </c>
      <c r="C58" s="318"/>
      <c r="D58" s="318"/>
      <c r="E58" s="318"/>
      <c r="F58" s="229"/>
    </row>
  </sheetData>
  <sheetProtection algorithmName="SHA-512" hashValue="1QVZnN7RczRu3agoBTC66W8hhf3aKdKBmrgoZH5684mU/td03QLiv96MFMw54gCQob5NO4fZ+rJQcFB4rr0PpQ==" saltValue="qNO51FtH9JcQfbyCcjLgbw==" spinCount="100000" sheet="1" objects="1" scenarios="1" formatCells="0" formatColumns="0" formatRows="0"/>
  <dataConsolidate/>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tabColor rgb="FFFFF6E1"/>
  </sheetPr>
  <dimension ref="A1:D18"/>
  <sheetViews>
    <sheetView zoomScaleNormal="100" workbookViewId="0">
      <selection activeCell="A2" sqref="A2"/>
    </sheetView>
  </sheetViews>
  <sheetFormatPr defaultColWidth="8.6640625" defaultRowHeight="17.25" x14ac:dyDescent="0.3"/>
  <cols>
    <col min="1" max="1" width="7.77734375" style="36" customWidth="1"/>
    <col min="2" max="2" width="24.44140625" style="36" customWidth="1"/>
    <col min="3" max="3" width="125.6640625" style="36" customWidth="1"/>
    <col min="4" max="4" width="8.6640625" style="36"/>
    <col min="5" max="16384" width="8.6640625" style="29"/>
  </cols>
  <sheetData>
    <row r="1" spans="1:4" ht="28.35" customHeight="1" x14ac:dyDescent="0.25">
      <c r="A1" s="296" t="s">
        <v>543</v>
      </c>
      <c r="B1" s="231"/>
      <c r="C1" s="231"/>
      <c r="D1" s="232"/>
    </row>
    <row r="2" spans="1:4" ht="30.75" x14ac:dyDescent="0.45">
      <c r="A2" s="462" t="s">
        <v>95</v>
      </c>
      <c r="B2" s="204"/>
      <c r="C2" s="204"/>
      <c r="D2" s="204"/>
    </row>
    <row r="3" spans="1:4" ht="15.95" customHeight="1" x14ac:dyDescent="0.55000000000000004">
      <c r="A3" s="309"/>
      <c r="B3" s="233"/>
      <c r="C3" s="233"/>
      <c r="D3" s="204"/>
    </row>
    <row r="4" spans="1:4" ht="40.35" customHeight="1" x14ac:dyDescent="0.3">
      <c r="A4" s="410" t="s">
        <v>721</v>
      </c>
      <c r="B4" s="411"/>
      <c r="C4" s="412"/>
      <c r="D4" s="413"/>
    </row>
    <row r="5" spans="1:4" ht="15" customHeight="1" x14ac:dyDescent="0.3">
      <c r="A5" s="234"/>
      <c r="B5" s="235"/>
      <c r="C5" s="235"/>
      <c r="D5" s="236"/>
    </row>
    <row r="6" spans="1:4" x14ac:dyDescent="0.3">
      <c r="A6" s="237"/>
      <c r="B6" s="210" t="s">
        <v>99</v>
      </c>
      <c r="C6" s="210" t="s">
        <v>100</v>
      </c>
      <c r="D6" s="236"/>
    </row>
    <row r="7" spans="1:4" ht="49.5" x14ac:dyDescent="0.3">
      <c r="A7" s="237"/>
      <c r="B7" s="260" t="s">
        <v>693</v>
      </c>
      <c r="C7" s="260" t="s">
        <v>689</v>
      </c>
      <c r="D7" s="236"/>
    </row>
    <row r="8" spans="1:4" ht="58.35" customHeight="1" x14ac:dyDescent="0.3">
      <c r="A8" s="237"/>
      <c r="B8" s="238" t="s">
        <v>121</v>
      </c>
      <c r="C8" s="238" t="s">
        <v>554</v>
      </c>
      <c r="D8" s="236"/>
    </row>
    <row r="9" spans="1:4" ht="99" x14ac:dyDescent="0.3">
      <c r="A9" s="237"/>
      <c r="B9" s="261" t="s">
        <v>232</v>
      </c>
      <c r="C9" s="261" t="s">
        <v>233</v>
      </c>
      <c r="D9" s="236"/>
    </row>
    <row r="10" spans="1:4" ht="230.45" customHeight="1" x14ac:dyDescent="0.3">
      <c r="A10" s="237"/>
      <c r="B10" s="238" t="s">
        <v>234</v>
      </c>
      <c r="C10" s="238" t="s">
        <v>777</v>
      </c>
      <c r="D10" s="236"/>
    </row>
    <row r="11" spans="1:4" ht="238.15" customHeight="1" x14ac:dyDescent="0.3">
      <c r="A11" s="237"/>
      <c r="B11" s="261" t="s">
        <v>235</v>
      </c>
      <c r="C11" s="261" t="s">
        <v>298</v>
      </c>
      <c r="D11" s="236"/>
    </row>
    <row r="12" spans="1:4" ht="409.5" customHeight="1" x14ac:dyDescent="0.3">
      <c r="A12" s="237"/>
      <c r="B12" s="238" t="s">
        <v>236</v>
      </c>
      <c r="C12" s="238" t="s">
        <v>722</v>
      </c>
      <c r="D12" s="236"/>
    </row>
    <row r="13" spans="1:4" ht="58.35" customHeight="1" x14ac:dyDescent="0.3">
      <c r="A13" s="237"/>
      <c r="B13" s="261" t="s">
        <v>237</v>
      </c>
      <c r="C13" s="261" t="s">
        <v>238</v>
      </c>
      <c r="D13" s="236"/>
    </row>
    <row r="14" spans="1:4" ht="58.35" customHeight="1" x14ac:dyDescent="0.3">
      <c r="A14" s="237"/>
      <c r="B14" s="238" t="s">
        <v>239</v>
      </c>
      <c r="C14" s="238" t="s">
        <v>240</v>
      </c>
      <c r="D14" s="236"/>
    </row>
    <row r="15" spans="1:4" ht="82.5" x14ac:dyDescent="0.3">
      <c r="A15" s="237"/>
      <c r="B15" s="261" t="s">
        <v>241</v>
      </c>
      <c r="C15" s="261" t="s">
        <v>242</v>
      </c>
      <c r="D15" s="236"/>
    </row>
    <row r="16" spans="1:4" ht="290.10000000000002" customHeight="1" x14ac:dyDescent="0.3">
      <c r="A16" s="237"/>
      <c r="B16" s="238" t="s">
        <v>625</v>
      </c>
      <c r="C16" s="238" t="s">
        <v>778</v>
      </c>
      <c r="D16" s="239"/>
    </row>
    <row r="17" spans="1:4" ht="239.45" customHeight="1" x14ac:dyDescent="0.3">
      <c r="A17" s="237"/>
      <c r="B17" s="261" t="s">
        <v>626</v>
      </c>
      <c r="C17" s="261" t="s">
        <v>779</v>
      </c>
      <c r="D17" s="239"/>
    </row>
    <row r="18" spans="1:4" ht="46.9" customHeight="1" x14ac:dyDescent="0.3">
      <c r="A18" s="240"/>
      <c r="B18" s="358" t="s">
        <v>702</v>
      </c>
      <c r="C18" s="319"/>
      <c r="D18" s="241"/>
    </row>
  </sheetData>
  <sheetProtection algorithmName="SHA-512" hashValue="ssyIDpq8anIZfg8mg7qKkYvyOEpMvg+n/I5bmxxcAQY0+0Ne4maPmZ9MCmwRzKOBEPgyQvPxjNKvIyLnLo1Eww==" saltValue="3wqij+rz9bVDszTzNPL5fg==" spinCount="100000" sheet="1" objects="1" scenarios="1" formatCells="0" formatColumns="0" formatRows="0"/>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101</vt:i4>
      </vt:variant>
    </vt:vector>
  </HeadingPairs>
  <TitlesOfParts>
    <vt:vector size="117" baseType="lpstr">
      <vt:lpstr>Introduction</vt:lpstr>
      <vt:lpstr>Revision_Log</vt:lpstr>
      <vt:lpstr>About_Request_Form</vt:lpstr>
      <vt:lpstr>Form_Instructions</vt:lpstr>
      <vt:lpstr>Research_Project_Info</vt:lpstr>
      <vt:lpstr>File-Level_Request</vt:lpstr>
      <vt:lpstr>PDE_Request</vt:lpstr>
      <vt:lpstr>Summary</vt:lpstr>
      <vt:lpstr>App_A_File_Desc</vt:lpstr>
      <vt:lpstr>App_B_Encryption_Levels</vt:lpstr>
      <vt:lpstr>App_C_Acronyms</vt:lpstr>
      <vt:lpstr>App_D_Glossary</vt:lpstr>
      <vt:lpstr>Study_Data_Year</vt:lpstr>
      <vt:lpstr>Formulas_Validations</vt:lpstr>
      <vt:lpstr>PDE_Source</vt:lpstr>
      <vt:lpstr>Data_Version</vt:lpstr>
      <vt:lpstr>AB_DM_Max_Year</vt:lpstr>
      <vt:lpstr>AB_DM_Min_Year</vt:lpstr>
      <vt:lpstr>AB_HH_Max_Year</vt:lpstr>
      <vt:lpstr>AB_HH_Min_Year</vt:lpstr>
      <vt:lpstr>AB_HS_Max_Year</vt:lpstr>
      <vt:lpstr>AB_HS_Min_Year</vt:lpstr>
      <vt:lpstr>AB_IP_Max_Year</vt:lpstr>
      <vt:lpstr>AB_IP_Min_Year</vt:lpstr>
      <vt:lpstr>AB_OP_Max_Year</vt:lpstr>
      <vt:lpstr>AB_OP_Min_Year</vt:lpstr>
      <vt:lpstr>AB_PB_Max_Year</vt:lpstr>
      <vt:lpstr>AB_PB_Min_Year</vt:lpstr>
      <vt:lpstr>AB_SN_Max_Year</vt:lpstr>
      <vt:lpstr>AB_SN_Min_Year</vt:lpstr>
      <vt:lpstr>About_the_App_A_File_Desc_Worksheet</vt:lpstr>
      <vt:lpstr>About_the_App_B_Encryotion_Levels_Worksheet</vt:lpstr>
      <vt:lpstr>About_the_App_D_Acronyms_Worksheet</vt:lpstr>
      <vt:lpstr>About_the_App_E_Glossary_Worksheet</vt:lpstr>
      <vt:lpstr>About_the_File_Level_Request_Worksheet</vt:lpstr>
      <vt:lpstr>About_the_PDE_Request_Worksheet</vt:lpstr>
      <vt:lpstr>About_the_Study_Info_Worksheet</vt:lpstr>
      <vt:lpstr>About_the_Summary_Worksheet</vt:lpstr>
      <vt:lpstr>Additional_Medicare_Summary_Files_Max_Year</vt:lpstr>
      <vt:lpstr>Additional_Medicare_Summary_Files_Min_Year</vt:lpstr>
      <vt:lpstr>C_Carrier_Max_Year</vt:lpstr>
      <vt:lpstr>C_Carrier_Min_Year</vt:lpstr>
      <vt:lpstr>C_DME_Max_Year</vt:lpstr>
      <vt:lpstr>C_DME_Min_Year</vt:lpstr>
      <vt:lpstr>C_HH_Max_Year</vt:lpstr>
      <vt:lpstr>C_HH_Min_Year</vt:lpstr>
      <vt:lpstr>C_IP_Max_Year</vt:lpstr>
      <vt:lpstr>C_IP_Min_Year</vt:lpstr>
      <vt:lpstr>C_OP_Max_Year</vt:lpstr>
      <vt:lpstr>C_OP_Min_Year</vt:lpstr>
      <vt:lpstr>C_SNF_Max_Year</vt:lpstr>
      <vt:lpstr>C_SNF_Min_Year</vt:lpstr>
      <vt:lpstr>DisplaySurveyName</vt:lpstr>
      <vt:lpstr>DN_Max_Year</vt:lpstr>
      <vt:lpstr>DN_Min_Year</vt:lpstr>
      <vt:lpstr>Encryption_Lookup</vt:lpstr>
      <vt:lpstr>HEDIS_Max_Year</vt:lpstr>
      <vt:lpstr>HEDIS_Min_Year</vt:lpstr>
      <vt:lpstr>IRF_PAI_Max_Year</vt:lpstr>
      <vt:lpstr>IRF_PAI_Min_Year</vt:lpstr>
      <vt:lpstr>MAX_IP_Max_Year</vt:lpstr>
      <vt:lpstr>MAX_IP_Min_Year</vt:lpstr>
      <vt:lpstr>MAX_LT_Max_Year</vt:lpstr>
      <vt:lpstr>MAX_LT_Min_Year</vt:lpstr>
      <vt:lpstr>MAX_OT_Max_Year</vt:lpstr>
      <vt:lpstr>MAX_OT_Min_Year</vt:lpstr>
      <vt:lpstr>MAX_PS_Max_Year</vt:lpstr>
      <vt:lpstr>MAX_PS_Min_Year</vt:lpstr>
      <vt:lpstr>MAX_RX_Max_Year</vt:lpstr>
      <vt:lpstr>MAX_RX_Min_Year</vt:lpstr>
      <vt:lpstr>MBSF_Base_Max_Year</vt:lpstr>
      <vt:lpstr>MBSF_Base_Min_Year</vt:lpstr>
      <vt:lpstr>MBSF_CC_Max_Year</vt:lpstr>
      <vt:lpstr>MBSF_CC_Min_Year</vt:lpstr>
      <vt:lpstr>MBSF_CU_Max_Year</vt:lpstr>
      <vt:lpstr>MBSF_CU_Min_Year</vt:lpstr>
      <vt:lpstr>MBSF_Other_Max_Year</vt:lpstr>
      <vt:lpstr>MBSF_Other_Min_Year</vt:lpstr>
      <vt:lpstr>PDE_Source!MDS_Encryption_Lookup_Table</vt:lpstr>
      <vt:lpstr>MDS_Max_Year</vt:lpstr>
      <vt:lpstr>MDS_Min_Year</vt:lpstr>
      <vt:lpstr>Medicaid_Claims_Data_Max_Year</vt:lpstr>
      <vt:lpstr>Medicaid_Claims_Data_Min_Year</vt:lpstr>
      <vt:lpstr>Medicaid_Enrollment_Data_Max_Year</vt:lpstr>
      <vt:lpstr>Medicaid_Enrollment_Data_Min_Year</vt:lpstr>
      <vt:lpstr>Medicare_Claims_Data_Max_Year</vt:lpstr>
      <vt:lpstr>Medicare_Claims_Data_Min_Year</vt:lpstr>
      <vt:lpstr>Medicare_Enrollment_Data_Max_Year</vt:lpstr>
      <vt:lpstr>Medicare_Enrollment_Data_Min_Year</vt:lpstr>
      <vt:lpstr>MedPAR_Max_Year</vt:lpstr>
      <vt:lpstr>MedPAR_Min_Year</vt:lpstr>
      <vt:lpstr>MTM_Max_Year</vt:lpstr>
      <vt:lpstr>MTM_Min_Year</vt:lpstr>
      <vt:lpstr>OASIS_Max_Year</vt:lpstr>
      <vt:lpstr>OASIS_Min_Year</vt:lpstr>
      <vt:lpstr>Part_C_Claims_Data_Max_Year</vt:lpstr>
      <vt:lpstr>Part_C_Claims_Data_Min_Year</vt:lpstr>
      <vt:lpstr>PDE_Encryption_Lookup_Table</vt:lpstr>
      <vt:lpstr>PDE_Max_Year</vt:lpstr>
      <vt:lpstr>PDE_Min_Year</vt:lpstr>
      <vt:lpstr>SelectSoftware</vt:lpstr>
      <vt:lpstr>SelectSurvey</vt:lpstr>
      <vt:lpstr>Study_Data_Year_Lookup</vt:lpstr>
      <vt:lpstr>StudyName</vt:lpstr>
      <vt:lpstr>SurveyNameLookUp</vt:lpstr>
      <vt:lpstr>Table_of_Contents</vt:lpstr>
      <vt:lpstr>TMSIS_DE_Max_Year</vt:lpstr>
      <vt:lpstr>TMSIS_DE_Min_Year</vt:lpstr>
      <vt:lpstr>TMSIS_IP_Max_Year</vt:lpstr>
      <vt:lpstr>TMSIS_IP_Min_Year</vt:lpstr>
      <vt:lpstr>TMSIS_LT_Max_Year</vt:lpstr>
      <vt:lpstr>TMSIS_LT_Min_Year</vt:lpstr>
      <vt:lpstr>TMSIS_OT_Max_Year</vt:lpstr>
      <vt:lpstr>TMSIS_OT_Min_Year</vt:lpstr>
      <vt:lpstr>TMSIS_RX_Max_Year</vt:lpstr>
      <vt:lpstr>TMSIS_RX_Min_Year</vt:lpstr>
      <vt:lpstr>Update_Request_Form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Dee Dee Aubourg</dc:creator>
  <cp:lastModifiedBy>Grant Guan</cp:lastModifiedBy>
  <dcterms:created xsi:type="dcterms:W3CDTF">2014-05-07T03:08:19Z</dcterms:created>
  <dcterms:modified xsi:type="dcterms:W3CDTF">2024-01-02T21:07:32Z</dcterms:modified>
</cp:coreProperties>
</file>